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15" yWindow="-15" windowWidth="9075" windowHeight="6285" tabRatio="689" activeTab="3"/>
  </bookViews>
  <sheets>
    <sheet name="16.15" sheetId="6" r:id="rId1"/>
    <sheet name="CB_DATA_" sheetId="16" state="hidden" r:id="rId2"/>
    <sheet name="16.16" sheetId="17" r:id="rId3"/>
    <sheet name="16.18" sheetId="12" r:id="rId4"/>
  </sheets>
  <definedNames>
    <definedName name="CB_Block_00000000000000000000000000000001" localSheetId="1" hidden="1">"'633794670449775379"</definedName>
    <definedName name="CBx_291bbe1ed78e4e668d6b3201569ef341" localSheetId="1" hidden="1">"'CB_DATA_'!$A$1"</definedName>
    <definedName name="CBx_2aa6001b904f4debbdbee7c22be5583c" localSheetId="1" hidden="1">"'Figures'!$A$1"</definedName>
    <definedName name="CBx_2f7d6855841f449586db4625a49b32a7" localSheetId="1" hidden="1">"'15.18'!$A$1"</definedName>
    <definedName name="CBx_Sheet_Guid" localSheetId="3" hidden="1">"'2f7d6855-841f-4495-86db-4625a49b32a7"</definedName>
    <definedName name="CBx_Sheet_Guid" localSheetId="1" hidden="1">"'291bbe1e-d78e-4e66-8d6b-3201569ef341"</definedName>
    <definedName name="CBx_SheetRef" localSheetId="1" hidden="1">CB_DATA_!$A$14</definedName>
    <definedName name="CBx_StorageType" localSheetId="3" hidden="1">1</definedName>
    <definedName name="CBx_StorageType" localSheetId="1" hidden="1">2</definedName>
    <definedName name="solver_bigm" localSheetId="3" hidden="1">1000000</definedName>
    <definedName name="solver_bnd" localSheetId="3" hidden="1">1</definedName>
    <definedName name="solver_cha" localSheetId="3" hidden="1">0</definedName>
    <definedName name="solver_chn" localSheetId="3" hidden="1">4</definedName>
    <definedName name="solver_cht" localSheetId="3" hidden="1">0</definedName>
    <definedName name="solver_ctp2" hidden="1">0</definedName>
    <definedName name="solver_dia" localSheetId="3" hidden="1">1</definedName>
    <definedName name="solver_glb" localSheetId="3" hidden="1">-1E+30</definedName>
    <definedName name="solver_gub" localSheetId="3" hidden="1">1E+30</definedName>
    <definedName name="solver_iao" localSheetId="3" hidden="1">0</definedName>
    <definedName name="solver_inc" localSheetId="3" hidden="1">0</definedName>
    <definedName name="solver_int" localSheetId="3" hidden="1">0</definedName>
    <definedName name="solver_irs" localSheetId="3" hidden="1">0</definedName>
    <definedName name="solver_ism" localSheetId="3" hidden="1">0</definedName>
    <definedName name="solver_log" localSheetId="3" hidden="1">1</definedName>
    <definedName name="solver_mda" localSheetId="3" hidden="1">4</definedName>
    <definedName name="solver_mod" localSheetId="3" hidden="1">4</definedName>
    <definedName name="solver_nopt" localSheetId="3" hidden="1">1</definedName>
    <definedName name="solver_ntr" localSheetId="3" hidden="1">0</definedName>
    <definedName name="solver_psi" localSheetId="3" hidden="1">0</definedName>
    <definedName name="solver_seed" hidden="1">999</definedName>
    <definedName name="solver_slv" localSheetId="3" hidden="1">0</definedName>
    <definedName name="solver_slvu" localSheetId="3" hidden="1">0</definedName>
    <definedName name="solver_typ" localSheetId="0" hidden="1">2</definedName>
    <definedName name="solver_typ" localSheetId="3" hidden="1">2</definedName>
    <definedName name="solver_umod" localSheetId="3" hidden="1">1</definedName>
    <definedName name="solver_ver" localSheetId="0" hidden="1">9</definedName>
    <definedName name="solver_ver" localSheetId="3" hidden="1">9</definedName>
    <definedName name="solver_vol" localSheetId="3" hidden="1">0</definedName>
    <definedName name="solvero_CRMax_B40" localSheetId="3" hidden="1">"System.Double:Infinity"</definedName>
    <definedName name="solvero_CRMax_B41" localSheetId="3" hidden="1">"System.Double:Infinity"</definedName>
    <definedName name="solvero_CRMax_B43" localSheetId="3" hidden="1">"System.Double:Infinity"</definedName>
    <definedName name="solvero_CRMax_B44" localSheetId="3" hidden="1">"System.Double:Infinity"</definedName>
    <definedName name="solvero_CRMin_B40" localSheetId="3" hidden="1">"System.Double:500000"</definedName>
    <definedName name="solvero_CRMin_B41" localSheetId="3" hidden="1">"System.Double:-Infinity"</definedName>
    <definedName name="solvero_CRMin_B43" localSheetId="3" hidden="1">"System.Double:-140000"</definedName>
    <definedName name="solvero_CRMin_B44" localSheetId="3" hidden="1">"System.Double:40"</definedName>
    <definedName name="solvero_ISpMarker1_B40" localSheetId="3" hidden="1">"RiskSolver.UI.Charts.Marker:100;3;2098016.687;1;1;0;0;0;Marker 1;Mean"</definedName>
    <definedName name="solvero_ISpMarker1_B43" localSheetId="3" hidden="1">"RiskSolver.UI.Charts.Marker:100;3;-165517.292;1;1;0;0;0;Marker 1;Mean_x000D_
"</definedName>
    <definedName name="solvero_ISpMarker1_B44" localSheetId="3" hidden="1">"RiskSolver.UI.Charts.Marker:100;3;50.505;1;1;0;0;0;Marker 1;Mean"</definedName>
    <definedName name="solvero_ISpMarkers_B40" localSheetId="3" hidden="1">"RiskSolver.UI.Charts.Markers:1"</definedName>
    <definedName name="solvero_ISpMarkers_B43" localSheetId="3" hidden="1">"RiskSolver.UI.Charts.Markers:1"</definedName>
    <definedName name="solvero_ISpMarkers_B44" localSheetId="3" hidden="1">"RiskSolver.UI.Charts.Markers:1"</definedName>
    <definedName name="solvero_OSpPars_B40" localSheetId="3" hidden="1">"RiskSolver.UI.Charts.OutDlgPars:-1000001;8;17;70;59;0;1;90;80;0;0;0;0;"</definedName>
    <definedName name="solvero_OSpPars_B41" localSheetId="3" hidden="1">"RiskSolver.UI.Charts.OutDlgPars:-1000001;22;23;55;64;0;1;90;80;0;0;0;0;"</definedName>
    <definedName name="solvero_OSpPars_B43" localSheetId="3" hidden="1">"RiskSolver.UI.Charts.OutDlgPars:-1000001;14;22;67;57;0;1;90;80;0;0;0;0;"</definedName>
    <definedName name="solvero_OSpPars_B44" localSheetId="3" hidden="1">"RiskSolver.UI.Charts.OutDlgPars:-1000001;25;27;56;60;0;1;90;80;0;0;0;0;"</definedName>
  </definedNames>
  <calcPr calcId="144525"/>
</workbook>
</file>

<file path=xl/calcChain.xml><?xml version="1.0" encoding="utf-8"?>
<calcChain xmlns="http://schemas.openxmlformats.org/spreadsheetml/2006/main">
  <c r="A11" i="16" l="1"/>
  <c r="B26" i="12"/>
  <c r="B27" i="12" s="1"/>
  <c r="B28" i="12" s="1"/>
  <c r="B33" i="12" s="1"/>
  <c r="B7" i="12"/>
  <c r="B15" i="12"/>
  <c r="B4" i="12"/>
  <c r="B26" i="6" l="1"/>
  <c r="B27" i="6" s="1"/>
  <c r="B28" i="6" s="1"/>
  <c r="B33" i="6" s="1"/>
  <c r="B47" i="6" s="1"/>
  <c r="C21" i="6"/>
  <c r="B16" i="6"/>
  <c r="B16" i="12"/>
  <c r="C21" i="12"/>
  <c r="B47" i="12"/>
  <c r="C24" i="6"/>
  <c r="C22" i="6" l="1"/>
  <c r="C23" i="6"/>
  <c r="C30" i="6"/>
  <c r="C25" i="6"/>
  <c r="D21" i="6"/>
  <c r="D21" i="12"/>
  <c r="C22" i="12"/>
  <c r="C24" i="12"/>
  <c r="C30" i="12"/>
  <c r="C23" i="12"/>
  <c r="C25" i="12"/>
  <c r="B48" i="6"/>
  <c r="B48" i="12"/>
  <c r="C26" i="6" l="1"/>
  <c r="C27" i="6" s="1"/>
  <c r="C28" i="6" s="1"/>
  <c r="C33" i="6" s="1"/>
  <c r="C47" i="6" s="1"/>
  <c r="D22" i="6"/>
  <c r="E21" i="6"/>
  <c r="D30" i="6"/>
  <c r="D25" i="6"/>
  <c r="D23" i="6"/>
  <c r="D24" i="6"/>
  <c r="D25" i="12"/>
  <c r="E21" i="12"/>
  <c r="D24" i="12"/>
  <c r="D23" i="12"/>
  <c r="D30" i="12"/>
  <c r="D22" i="12"/>
  <c r="C26" i="12"/>
  <c r="B49" i="12"/>
  <c r="B50" i="12" s="1"/>
  <c r="B49" i="6"/>
  <c r="B50" i="6" s="1"/>
  <c r="D26" i="6" l="1"/>
  <c r="D27" i="6" s="1"/>
  <c r="D28" i="6" s="1"/>
  <c r="D33" i="6" s="1"/>
  <c r="E22" i="6"/>
  <c r="E30" i="6"/>
  <c r="F21" i="6"/>
  <c r="E25" i="6"/>
  <c r="E23" i="6"/>
  <c r="E24" i="6"/>
  <c r="D26" i="12"/>
  <c r="D27" i="12" s="1"/>
  <c r="D28" i="12" s="1"/>
  <c r="D33" i="12" s="1"/>
  <c r="C27" i="12"/>
  <c r="C28" i="12" s="1"/>
  <c r="C33" i="12" s="1"/>
  <c r="C47" i="12" s="1"/>
  <c r="F21" i="12"/>
  <c r="E25" i="12"/>
  <c r="E22" i="12"/>
  <c r="E23" i="12"/>
  <c r="E30" i="12"/>
  <c r="E24" i="12"/>
  <c r="C48" i="6"/>
  <c r="D47" i="6"/>
  <c r="E26" i="6" l="1"/>
  <c r="E27" i="6" s="1"/>
  <c r="E28" i="6" s="1"/>
  <c r="E33" i="6" s="1"/>
  <c r="F25" i="6"/>
  <c r="F24" i="6"/>
  <c r="F23" i="6"/>
  <c r="F26" i="6" s="1"/>
  <c r="F22" i="6"/>
  <c r="F30" i="6"/>
  <c r="G21" i="6"/>
  <c r="C48" i="12"/>
  <c r="C49" i="12" s="1"/>
  <c r="C50" i="12" s="1"/>
  <c r="F23" i="12"/>
  <c r="F25" i="12"/>
  <c r="G21" i="12"/>
  <c r="F24" i="12"/>
  <c r="F30" i="12"/>
  <c r="F22" i="12"/>
  <c r="E26" i="12"/>
  <c r="D47" i="12"/>
  <c r="D48" i="12" s="1"/>
  <c r="C49" i="6"/>
  <c r="C50" i="6" s="1"/>
  <c r="D48" i="6"/>
  <c r="E47" i="6"/>
  <c r="F28" i="6" l="1"/>
  <c r="F27" i="6"/>
  <c r="G30" i="6"/>
  <c r="H21" i="6"/>
  <c r="G24" i="6"/>
  <c r="G22" i="6"/>
  <c r="G25" i="6"/>
  <c r="G23" i="6"/>
  <c r="D49" i="12"/>
  <c r="D50" i="12" s="1"/>
  <c r="F26" i="12"/>
  <c r="F27" i="12" s="1"/>
  <c r="F28" i="12" s="1"/>
  <c r="F33" i="12" s="1"/>
  <c r="G22" i="12"/>
  <c r="G23" i="12"/>
  <c r="G30" i="12"/>
  <c r="H21" i="12"/>
  <c r="G24" i="12"/>
  <c r="G25" i="12"/>
  <c r="E27" i="12"/>
  <c r="E28" i="12" s="1"/>
  <c r="E33" i="12" s="1"/>
  <c r="E47" i="12" s="1"/>
  <c r="E48" i="12" s="1"/>
  <c r="E49" i="12" s="1"/>
  <c r="E50" i="12" s="1"/>
  <c r="E48" i="6"/>
  <c r="E49" i="6" s="1"/>
  <c r="E50" i="6" s="1"/>
  <c r="D49" i="6"/>
  <c r="D50" i="6" s="1"/>
  <c r="F33" i="6" l="1"/>
  <c r="F47" i="6" s="1"/>
  <c r="H22" i="6"/>
  <c r="H30" i="6"/>
  <c r="H23" i="6"/>
  <c r="I21" i="6"/>
  <c r="H25" i="6"/>
  <c r="H24" i="6"/>
  <c r="G26" i="6"/>
  <c r="G27" i="6" s="1"/>
  <c r="G28" i="6" s="1"/>
  <c r="G33" i="6" s="1"/>
  <c r="H25" i="12"/>
  <c r="I21" i="12"/>
  <c r="H24" i="12"/>
  <c r="H23" i="12"/>
  <c r="H30" i="12"/>
  <c r="H22" i="12"/>
  <c r="G26" i="12"/>
  <c r="G27" i="12" s="1"/>
  <c r="G28" i="12" s="1"/>
  <c r="G33" i="12" s="1"/>
  <c r="F47" i="12"/>
  <c r="F48" i="12" s="1"/>
  <c r="F49" i="12" s="1"/>
  <c r="F50" i="12" s="1"/>
  <c r="F48" i="6"/>
  <c r="G47" i="6" l="1"/>
  <c r="H47" i="6" s="1"/>
  <c r="H26" i="6"/>
  <c r="H27" i="6" s="1"/>
  <c r="H28" i="6" s="1"/>
  <c r="H33" i="6" s="1"/>
  <c r="I22" i="6"/>
  <c r="I25" i="6"/>
  <c r="I24" i="6"/>
  <c r="J21" i="6"/>
  <c r="I23" i="6"/>
  <c r="I30" i="6"/>
  <c r="G47" i="12"/>
  <c r="G48" i="12" s="1"/>
  <c r="G49" i="12" s="1"/>
  <c r="G50" i="12" s="1"/>
  <c r="H26" i="12"/>
  <c r="H27" i="12" s="1"/>
  <c r="H28" i="12" s="1"/>
  <c r="H33" i="12" s="1"/>
  <c r="I22" i="12"/>
  <c r="I23" i="12"/>
  <c r="I30" i="12"/>
  <c r="J21" i="12"/>
  <c r="I24" i="12"/>
  <c r="I25" i="12"/>
  <c r="G48" i="6"/>
  <c r="F49" i="6"/>
  <c r="F50" i="6" s="1"/>
  <c r="I26" i="6" l="1"/>
  <c r="I27" i="6" s="1"/>
  <c r="I28" i="6" s="1"/>
  <c r="I33" i="6" s="1"/>
  <c r="J30" i="6"/>
  <c r="K21" i="6"/>
  <c r="J24" i="6"/>
  <c r="J22" i="6"/>
  <c r="J25" i="6"/>
  <c r="J23" i="6"/>
  <c r="H47" i="12"/>
  <c r="H48" i="12" s="1"/>
  <c r="H49" i="12" s="1"/>
  <c r="H50" i="12" s="1"/>
  <c r="J25" i="12"/>
  <c r="K21" i="12"/>
  <c r="J24" i="12"/>
  <c r="J23" i="12"/>
  <c r="J30" i="12"/>
  <c r="J22" i="12"/>
  <c r="I26" i="12"/>
  <c r="I27" i="12" s="1"/>
  <c r="I28" i="12" s="1"/>
  <c r="I33" i="12" s="1"/>
  <c r="H48" i="6"/>
  <c r="H49" i="6" s="1"/>
  <c r="H50" i="6" s="1"/>
  <c r="I47" i="6"/>
  <c r="G49" i="6"/>
  <c r="G50" i="6" s="1"/>
  <c r="K25" i="6" l="1"/>
  <c r="K24" i="6"/>
  <c r="K22" i="6"/>
  <c r="L21" i="6"/>
  <c r="K30" i="6"/>
  <c r="K23" i="6"/>
  <c r="J26" i="6"/>
  <c r="J27" i="6" s="1"/>
  <c r="J28" i="6" s="1"/>
  <c r="J33" i="6" s="1"/>
  <c r="J26" i="12"/>
  <c r="J27" i="12" s="1"/>
  <c r="J28" i="12" s="1"/>
  <c r="J33" i="12" s="1"/>
  <c r="I47" i="12"/>
  <c r="I48" i="12" s="1"/>
  <c r="I49" i="12" s="1"/>
  <c r="I50" i="12" s="1"/>
  <c r="K22" i="12"/>
  <c r="L21" i="12"/>
  <c r="K25" i="12"/>
  <c r="K24" i="12"/>
  <c r="K23" i="12"/>
  <c r="K30" i="12"/>
  <c r="I48" i="6"/>
  <c r="I49" i="6" s="1"/>
  <c r="I50" i="6" s="1"/>
  <c r="K26" i="6" l="1"/>
  <c r="K27" i="6" s="1"/>
  <c r="K28" i="6" s="1"/>
  <c r="K33" i="6" s="1"/>
  <c r="L30" i="6"/>
  <c r="L24" i="6"/>
  <c r="L25" i="6"/>
  <c r="L22" i="6"/>
  <c r="L26" i="6" s="1"/>
  <c r="L27" i="6" s="1"/>
  <c r="L28" i="6" s="1"/>
  <c r="L33" i="6" s="1"/>
  <c r="L23" i="6"/>
  <c r="J47" i="6"/>
  <c r="K26" i="12"/>
  <c r="K27" i="12" s="1"/>
  <c r="K28" i="12" s="1"/>
  <c r="K33" i="12" s="1"/>
  <c r="J47" i="12"/>
  <c r="J48" i="12" s="1"/>
  <c r="J49" i="12" s="1"/>
  <c r="J50" i="12" s="1"/>
  <c r="L25" i="12"/>
  <c r="L22" i="12"/>
  <c r="L23" i="12"/>
  <c r="L30" i="12"/>
  <c r="L24" i="12"/>
  <c r="J48" i="6"/>
  <c r="J49" i="6" s="1"/>
  <c r="J50" i="6" s="1"/>
  <c r="K47" i="6" l="1"/>
  <c r="B34" i="6"/>
  <c r="B36" i="6" s="1"/>
  <c r="B35" i="6"/>
  <c r="L26" i="12"/>
  <c r="L27" i="12" s="1"/>
  <c r="L28" i="12" s="1"/>
  <c r="L33" i="12" s="1"/>
  <c r="K47" i="12"/>
  <c r="K48" i="12" s="1"/>
  <c r="K49" i="12" s="1"/>
  <c r="K50" i="12" s="1"/>
  <c r="K48" i="6"/>
  <c r="K49" i="6" s="1"/>
  <c r="K50" i="6" s="1"/>
  <c r="L47" i="6"/>
  <c r="B37" i="6" l="1"/>
  <c r="B41" i="6" s="1"/>
  <c r="L47" i="12"/>
  <c r="B35" i="12"/>
  <c r="B34" i="12"/>
  <c r="B36" i="12" s="1"/>
  <c r="L48" i="6"/>
  <c r="B43" i="6"/>
  <c r="L49" i="6"/>
  <c r="L50" i="6" s="1"/>
  <c r="B42" i="6" s="1"/>
  <c r="B43" i="12"/>
  <c r="B44" i="6" l="1"/>
  <c r="B40" i="6"/>
  <c r="L48" i="12"/>
  <c r="L49" i="12" s="1"/>
  <c r="L50" i="12" s="1"/>
  <c r="B37" i="12"/>
  <c r="B42" i="12"/>
  <c r="B40" i="12"/>
  <c r="B41" i="12" l="1"/>
  <c r="B44" i="12"/>
</calcChain>
</file>

<file path=xl/comments1.xml><?xml version="1.0" encoding="utf-8"?>
<comments xmlns="http://schemas.openxmlformats.org/spreadsheetml/2006/main">
  <authors>
    <author>Steve.Powell</author>
  </authors>
  <commentList>
    <comment ref="B34" authorId="0">
      <text>
        <r>
          <rPr>
            <b/>
            <sz val="8"/>
            <color indexed="81"/>
            <rFont val="Tahoma"/>
            <family val="2"/>
          </rPr>
          <t xml:space="preserve">Terminal value is an estimate of the value of the firm after 2005. </t>
        </r>
      </text>
    </comment>
    <comment ref="B35" authorId="0">
      <text>
        <r>
          <rPr>
            <b/>
            <sz val="8"/>
            <color indexed="81"/>
            <rFont val="Tahoma"/>
            <family val="2"/>
          </rPr>
          <t xml:space="preserve">PV Free cash flow is the value of the firm from 1995 to 2005. </t>
        </r>
        <r>
          <rPr>
            <sz val="8"/>
            <color indexed="81"/>
            <rFont val="Tahoma"/>
            <family val="2"/>
          </rPr>
          <t xml:space="preserve">
</t>
        </r>
      </text>
    </comment>
    <comment ref="B36" authorId="0">
      <text>
        <r>
          <rPr>
            <b/>
            <sz val="8"/>
            <color indexed="81"/>
            <rFont val="Tahoma"/>
            <family val="2"/>
          </rPr>
          <t xml:space="preserve">PV Terminal value is the value as of 1995 of the value after 2005. </t>
        </r>
      </text>
    </comment>
    <comment ref="B37" authorId="0">
      <text>
        <r>
          <rPr>
            <b/>
            <sz val="8"/>
            <color indexed="81"/>
            <rFont val="Tahoma"/>
            <family val="2"/>
          </rPr>
          <t xml:space="preserve">The Total PV is the sum of the PV from 1995-2005 and the terminal value after 2005. </t>
        </r>
      </text>
    </comment>
  </commentList>
</comments>
</file>

<file path=xl/comments2.xml><?xml version="1.0" encoding="utf-8"?>
<comments xmlns="http://schemas.openxmlformats.org/spreadsheetml/2006/main">
  <authors>
    <author>Steve.Powell</author>
  </authors>
  <commentList>
    <comment ref="G10" authorId="0">
      <text>
        <r>
          <rPr>
            <b/>
            <sz val="9"/>
            <color indexed="81"/>
            <rFont val="Tahoma"/>
            <family val="2"/>
          </rPr>
          <t>Base Case: 
TV Growth Rate = 4%
Market Risk Premium = 7.5%</t>
        </r>
        <r>
          <rPr>
            <sz val="9"/>
            <color indexed="81"/>
            <rFont val="Tahoma"/>
            <family val="2"/>
          </rPr>
          <t xml:space="preserve">
</t>
        </r>
      </text>
    </comment>
  </commentList>
</comments>
</file>

<file path=xl/comments3.xml><?xml version="1.0" encoding="utf-8"?>
<comments xmlns="http://schemas.openxmlformats.org/spreadsheetml/2006/main">
  <authors>
    <author>Steve.Powell</author>
  </authors>
  <commentList>
    <comment ref="B4" authorId="0">
      <text>
        <r>
          <rPr>
            <b/>
            <sz val="9"/>
            <color indexed="81"/>
            <rFont val="Tahoma"/>
            <family val="2"/>
          </rPr>
          <t>Normal Distribution:
Mean = 65%
Standard Deviation = 5%</t>
        </r>
        <r>
          <rPr>
            <sz val="9"/>
            <color indexed="81"/>
            <rFont val="Tahoma"/>
            <family val="2"/>
          </rPr>
          <t xml:space="preserve">
</t>
        </r>
      </text>
    </comment>
    <comment ref="B7" authorId="0">
      <text>
        <r>
          <rPr>
            <b/>
            <sz val="9"/>
            <color indexed="81"/>
            <rFont val="Tahoma"/>
            <family val="2"/>
          </rPr>
          <t>Triangular Distribution:
Minimum = 32%
Most Likely = 37%
Maximum = 42%</t>
        </r>
        <r>
          <rPr>
            <sz val="9"/>
            <color indexed="81"/>
            <rFont val="Tahoma"/>
            <family val="2"/>
          </rPr>
          <t xml:space="preserve">
</t>
        </r>
      </text>
    </comment>
    <comment ref="B15" authorId="0">
      <text>
        <r>
          <rPr>
            <b/>
            <sz val="9"/>
            <color indexed="81"/>
            <rFont val="Tahoma"/>
            <family val="2"/>
          </rPr>
          <t>Uniform Distribution:
Minimum = 5%
Maximum = 10%</t>
        </r>
        <r>
          <rPr>
            <sz val="9"/>
            <color indexed="81"/>
            <rFont val="Tahoma"/>
            <family val="2"/>
          </rPr>
          <t xml:space="preserve">
</t>
        </r>
      </text>
    </comment>
    <comment ref="B40" authorId="0">
      <text>
        <r>
          <rPr>
            <b/>
            <sz val="9"/>
            <color indexed="81"/>
            <rFont val="Tahoma"/>
            <family val="2"/>
          </rPr>
          <t>Output Distributions</t>
        </r>
      </text>
    </comment>
  </commentList>
</comments>
</file>

<file path=xl/sharedStrings.xml><?xml version="1.0" encoding="utf-8"?>
<sst xmlns="http://schemas.openxmlformats.org/spreadsheetml/2006/main" count="111" uniqueCount="63">
  <si>
    <t>Assumptions</t>
  </si>
  <si>
    <t>Revenue growth rate</t>
  </si>
  <si>
    <t>Terminal value growth rate</t>
  </si>
  <si>
    <t>Other operating expenses</t>
  </si>
  <si>
    <t>Capital expenditure</t>
  </si>
  <si>
    <t>Depreciation</t>
  </si>
  <si>
    <t>∆NWC</t>
  </si>
  <si>
    <t>Beta</t>
  </si>
  <si>
    <t>Riskless rate</t>
  </si>
  <si>
    <t>Revenues</t>
  </si>
  <si>
    <t>Cost of goods sold</t>
  </si>
  <si>
    <t>R&amp;D expenses</t>
  </si>
  <si>
    <t>Profit before taxes</t>
  </si>
  <si>
    <t>Taxes</t>
  </si>
  <si>
    <t>Net income</t>
  </si>
  <si>
    <t>Free cash flow</t>
  </si>
  <si>
    <t>1995 actual</t>
  </si>
  <si>
    <t xml:space="preserve"> </t>
  </si>
  <si>
    <t>Cost of sales (% revenues)</t>
  </si>
  <si>
    <t>Depreciation (% revenues)</t>
  </si>
  <si>
    <t>Forecast</t>
  </si>
  <si>
    <t>Tax rate</t>
  </si>
  <si>
    <t>Market risk premium</t>
  </si>
  <si>
    <t>PV Free cash flow</t>
  </si>
  <si>
    <t>Total PV</t>
  </si>
  <si>
    <t>R&amp;D (% revenues)</t>
  </si>
  <si>
    <t>Performance</t>
  </si>
  <si>
    <t>Total NPV</t>
  </si>
  <si>
    <t>Cumulative FCF</t>
  </si>
  <si>
    <t>Year FCF &gt;0</t>
  </si>
  <si>
    <t>Max loss</t>
  </si>
  <si>
    <t>Model</t>
  </si>
  <si>
    <t>Price/Share</t>
  </si>
  <si>
    <t>PV Terminal value</t>
  </si>
  <si>
    <t>Netscape Valuation Model - Deterministic Version</t>
  </si>
  <si>
    <t>Change in net working capital</t>
  </si>
  <si>
    <t xml:space="preserve">Cost of equity </t>
  </si>
  <si>
    <t>Terminal value (2006)</t>
  </si>
  <si>
    <t>Shares outstanding</t>
  </si>
  <si>
    <t>Ratio TV/Total NPV</t>
  </si>
  <si>
    <t>Zero out negatives</t>
  </si>
  <si>
    <t>Isolate first positive</t>
  </si>
  <si>
    <t>Calculate year first positive</t>
  </si>
  <si>
    <t>Netscape Valuation Model - Simulation Version</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</si>
  <si>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</si>
  <si>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</si>
  <si>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</si>
  <si>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</si>
  <si>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</si>
  <si>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</si>
  <si>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</si>
  <si>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</si>
  <si>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</si>
  <si>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</si>
  <si>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</si>
  <si>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</si>
  <si>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291bbe1e-d78e-4e66-8d6b-3201569ef341</t>
  </si>
  <si>
    <t>CB_Block_0</t>
  </si>
  <si>
    <t>㜸〱敤㕣换㙦ㅢ挷ㄹ攷慥㐴㡡㑢㐹㤶㘲挹㑥㥣㠷愳㍣㥢㔴〶攳㘷ㄲ㈳㜰㕤㍤㈲㑢㡤ㅣ㈹愶散愰〸〲㘲㐵捥㑡ㅢ㜳㜷㤵摤愵㙣㈵〵搲㐳搰〲㐵ㅦ㐰搱㑢㕢ㄴ㉤㡡㈲㘸㉦〵搲㐳搱昴昱ㅦ㌴㐵㑦㍤ㄴ㈸㤰㕥㝡㐹㔱ㄸ攸㉤㤷昴昷㥢搹㈵㤷愴戸㤲㤹愴愵ぢ㡤慣搱散捣㌷戳㌳昳㍤攷晢㘶㥤搱㌲㤹捣挷㐸晣换㌴挸挲晤愵㥤㈰ㄴ㑥㜱捥慢搵㐴㈵戴㍤㌷㈸捥昸扥戹戳㙣〷攱〰〰㜲㘵ㅢ敤㐱戶ㅣ搸㙦㠸㝣㜹㕢昸〱㠰戲㤹㑣㍥㙦攸㘸攷㈰晣ㅤ㡦ㅦっ昶ㅡㄹ㐴㜶㘵㙥㜶㘵晤㌵㡣㕡ち㍤㕦㥣㤸扡愶晡㕥㜸愶㜸愶㜸晥改㤳挵㤳㈷愶收敡戵戰敥㡢ぢ慥愸㠷扥㔹㍢㌱戵㕡㕦慦搹㤵ㄷ挴捥㥡㜷㕤戸ㄷ挴晡挹㌳敢收搹㘷㑦㥤㍤㜷捥㍡㝦晥搹ㄱ扣㌸戳㍣㌷扢敡ぢ㉢昸㔴㐶捣㜲扡㘷攷㐵挵收扡㠴昰㙤㜷愳㌸㌷㡢㝦㠹戹攳改㤹㘲㘹㔳㠸㤰㉦ㄶ扥㜰㉢㈲㌰搰㜱搸㤹〹㠲扡戳挵㡤㌳㥣〵㉣戳㘲〶㘱搶㤹ㄳ戵㥡攱挴愳收㥤ㄵ散㕢捤摣ㄹ㜱㑡挲つ散搰摥戶挳㥤㥣戳㠶㠱慡愳捥搵㐰㕣㌱摤つ昱愲改㠸慣㜳愹㙥㔷〷㔵捡っ㝣㉥ㅥ㈲㌹㌱戹昸攲㑣攰捣㙤㥡扥㥣㔱挰㙤㐹㠱㕤昰㉢慤戰㡦㜴ㅦ㤷㔳㤷㙦攰㤸㡦㜵㠷㐳换㌵搳㙦㐰㑥㜷㠷㡣ㄶ摦㍡㠳愷扡挳㈷昶愸戵捦㤳摤晢挸慤㙣㠵搶㠶㈳摡㤶㍢㡡挵ㄸ㌹㘶㐳捣昲捣㠸㐰愳挰㙣㤸搹〸㌲㙤昰摦攰㤰㘴㐷㌶改㘵㔳㉦慦敢攵㡡㕥慥敡㘵愱㤷㉤扤扣愱㤷㌷昵戲慤㤷㕦搳换搷〱ㄳ愷晣搰㤰ㅥ愵搱昵㡤扢㍥㝡㜳㘶改敤挳ㅦ晥昵昵㡦㡥㝥㝤攴㄰㠰㕥㡡㈶㌵敦㥢㌷㐰㙡㑤ㅡ㍥㕤〴㐷散㠷㈷挰ㄲ搶㌹敢ㄹ敢搴愹敡戹㤳收ㄹ㌳换㘵愵㈰扦㠵㔰挶〱㍢㘲扤㙣扢㔵敦㠶挴摤晤戳㘶㈰㥡ㅢ㌷ㅤ戵捤㝡㜵户ㅡ摣户㝢㘳㈹㌴㐳㜱㙦㝢㕢㜳㤰㡥㙥㈵戰㤵〸攴晢㡥户㜷扢㘶搶敡㘲收愶慤㥡ㅦ㘸㙢㜶㔶㝤㙦扤㝢敢㠲㉦㕥㙦戴㜶捣㘸〶〲㙤㕢㡥摤戱㑡搵愴收㌵㌵户改〵挲㤵搳㥢㜶㔶敤捡㜵攱㤷〴挵愱愸捡愵ㅥ㘱㔳挴昵搳㉢㉥ㄶち㙥慤㍥㥣慣戵㥥扦ㄹ㠲㤹㐵ㄵ昳摤ㄲ㝥戸戳㘶慥搷挴搱ㄶ㄰昵㑥㌴ㅣ㙢愹㕥昰㉡昵㘰捥㜳㐳摦慢戵戶捣㔴户㑤㐸㥡敡㘵慦㉡〶〷㌳㔲㈸㐰搸づっ㘸㕡收昳摤㜹㐱㈲㈲㠱㘲㌲昲㍤慤㘴㔷扣㠲搵㘱ㄵ㌵㐱㥡搴ㅦ摤㘳㌰捥㔷捡㤸ㄴづ㑣慣㠹扡㠳㉦㝤㘲㡦㘱ㅢ㤸晢㙣㠱㜵㝤㈲㕡晤昳摢挲つㄷ㑤户㕡ㄳ㝥慡收搳㌸㈳㘳っ㔹昶ㄶ〴㐲搷摤愳㥡搳㙥㙡㍢搹ㅢ㜶㌵摣捣㙤ち㝢㘳㌳㐴ㅤ戴㘳㍥捦慤敤㐸挶㕤愸㌲づ㌳㥢㐰㔶㈸㘴㜲㤳〴捡ㄵ㤰㌲㔹㑡愷ㄴ㕥㙥ㄱ攴散搷挲换㈳搶㠲㕤ぢ㠵ㄲ捡㘳ㄶ㌰愲戴㥡㐴摦㈸㐹搴㌷㉢㑡㘱㑣㕡㜳愰㔲搳㜶挳㥤㈶摦㜶㜰㠹㈲愲〳㔹搰㜷戲㠰愲愰㔵ㅥ愴昰ㅡ㠸愶㑤ㅡ愴〳㈷㠸㠸㙣㤰愲搹㌱㜲㉢㤱ㄱ㍥㐵㐶〰㍥㐹㠴㠴㍥搹㕤㐶㤰搸㍢㠹㤴㥤扡昲攳㠱㌴摢捤㡥㔷搲散〸㌶捥㌸捡散㙥㘶昷㌰㍢㠶㑣晢〷㈴ㅣ愵ㅣ捡慤挹戸て捦挶晤捣ㅥ㐰〶昹㘴㔰收㐴愲㡡㌶搴㝥散㐸挲㡤挲㑥㤶㐶戱ㄲ㐵戴㡣ㅢ㜶收愸㈳ㄱㅤ㔹㥤晤愱㙢〷愵㡥㝤扣㍢㙤㈶㤷㐳㡡㑣〱㑤慥㜵て搰攴㐶㄰戴㐷扤昵㈰扡ㅡ㔳捣ㅥ㐲愶ㄴぢ㡤摤晤㔹昳㌴㈷敦〸㤳㐸ㄹ㐲㍤㉡昷㠸㠸㘹晥愷〸戸㡥愳换㠱晤㑣㔳㜰摡扡攳敤攷ㄳ摤㜹㍢㐲㝡㥢捥㍣搰㌹昴ㄳ摤愶〵晤㌰搸㑢晢㕢㔷晤昲㈸㥡㡤挷㤸㍤㡥慣㑤扦昰攴㝤扢㕥〲㘹ㄲ㍢〹捣ㅤ愶挷㐵㕡戸㙢㍢㕢㐲㙡㥦ㄱ㙢捤昴㌷㐴〸敦挵搲㍣散㘰捦昷㐵つ〷摡慡慣攰搹攵敥搶捡㘰挱昷ㅣ搶ㅦ搸挷挱ㅤ愱ㄸ〶〷昵㠱㑣㥢㝤㥣㘲㘷㈶晣㑤〹捡愱晥㍤搳㕤㐸㈴㍡戵㤲ㄷ晢愵㥦㉤て㈴㐹て㤲攴〹㙣慢昱㈴㌲㐸〹敤㉦㕤㈵捡㌴挱㑥㐸戰㔶㙢㤵摥扤㤴㤳㐹㥢晦戰㐳㡥っ㉢㘷敤㉣㝣〷挱愸㔳戲㥤㠶戰ㄸ㜶㔶㠵㕦㠱㕦挱慥㠹㠲㜲挹㔲搴ㅣ挸㡡㍢㐴㔶っっ㜴㥣愵㔳㝣㙢㤲㑥摡愴㐴㉡户愷㌶愶㥣挳㥢㐴㐵ㄷ㈴㠵㑡㡡㕢愸㈱㠱㐸㜹㠴㍤㄰㌱㍤㠸㤸㈲㌶捥㜸㡡搹㐹㘶愷㤰㘵晦〴㐹戳摦㡤㘷ㄸ㙣㘸㥢敥散㜲㌹㤳㈷ㅡ愴㝢昰晤慥挲敡㉣㕦㜳㡥搹搳挸摡捣ㅦ㍡ㅦ㔳〸㔱愲㍣㐱㠸戴㤶っ敢㥡㉤㙥㤰〶づ㔹〸㉡捤搵㠳搰㜳ㄸ㔵ㅡ戵收扤ㄷ扤㜰摥づ戶㄰㠵㥡戰愲挲换㥢挲〵㜵昹戰㝤摡敡扣慤㉤㔱㌵慣㤲㔷㠷㘸㕢㥡敦㠷㐳㌹搶〷㕢㔲㥥换㜵つ愹户戳㌱㠶搰攴㠹ㄸ扥㔶㝡㘲昷攵昹收愱㙦慣戹愳㙢㜶㔸ㄳ挳㤶㘲㍡㤶昳ㄶ㜶ㄱ㔱㠳敡㤰戵戶改ぢ㌱㍦㙡㕤昲敤㙡捤㜶〵㤱〱ㅢ㤳㠱扡㘵戱㠱〸挱慡挷昸㥦攷㡥㕡㙢扥改〶㕢㈶㠳㠹㍢㠷㕢㥥㘴㐸㈴㙢捤摡㙥㠰搷㐸㉣戲㍣㘶㤵㌶扤ㅢ㠸搴搶ㅤ昷㤲戹ㄵ昴〵㔶㐸昴㉡㐹搴㘸扡愶敢㕡㕥捦昷㡡ㅦㅥ挸㌳㤹搳昸ㅤ㘴㈶㜱㤵挹搲㕦㥥愲扤㘹搷㐷昱ㄹ摡改㥣搳〸㈲㐷㡤捡㠱㔴㈹㑣㑥㌵㥥㘵㥦昳挸ㄶ㉦㕤㕤㙡㐶攵㍥㐱慣㍡㑢晦㝥㡡㠴㤷㐴搱〸㠱搰㍢㜷㐸ㄱち敢㐸㌷攰㍦攰㥢㑦敤挴㔷戰㈴っ㘹敦㔰戳戸㠰ㄸ搲㠸戵㙣慥㡢ㅡ㈲搱㡥ㄹㅥ㔲て㌴㘲ㅤ戳ㄶ㐴㙤㜳㥥攳㤸㈴㉣ㄲ㘵愹㘲㤲㝥㘷敡愱㜷搹㜶つぢ㤹愴扥愸捡扣㠹㉡昳愶慣ㅡ戱慥㌰㈸㈸换ㅣ换摢㌰㝤㍢摣㜴散㑡㥥てっ摣昵〵㐵㠲挵㈹㜷攳ㄴ㑢㡣愹㌶㕢晥㉡っ戶愰〸㘴ㄷ㈱㐵戹㜵㐴㍥攸㔶搷㜲昸搱㝡㜴㉢㐱扣㐸ㅦ愹昱ㅣ㐶换捡㍢ㄱ㄰㌸㌲摤㡡㙦㕥摣㝡ぢ㌵捡㉢㐷慣愷㤰〸晣㠱〹ㄱ㑦攷㜶捥扡敡摡㈱戰㐷㡣㉤搸攱㝣〰㤴㈳㐳㔱ㅥ㙥敦㤵㔸㑤㜴㥡㙥攸㠴〷㍢㥢㕡㤴挴昱捥昶愴搶㜸㜴㤷㘶愵㑦ㄲ㙡㘴㉦㈰愹㔷㜶㤹㘳㍦㈹ㅡ㑤慡敤㔸搷㘸㘹㑥搳收扥㔳㠶㝣〲戵㈴㘹㈶㘳㕣㤰㠴㠲㄰㉦愹〳ㅡ㡡摥晡㜴昲㐸挴㙡㘸〱ㄴ愸愵㔴摤㘸ㄴっ㕣挲㠵㤳慡㈸㐴㑦攰敦㐳㔱㜱愵ㅥ戶戴㤸㌷㈷愲㤶㤹㕡㙤挵㠵㡤㔰㌱晤㙡㥦戰㌴搶愶昴㡢攴捥㕥㜵扦摡摥〴㈳㐶㙣挸㠰㐸㡡ㄷㄸ㙣〸收㑡挴㔲㘹㥢㡤㜲慢ㅢ搵㜹㍥㕤ㄶ愶㉢㌱㔰ち慢昳㘲㕢ㅡ㘱㑤㍢㝥㐲㜶㘸㥣ㄵ愵ㅣ㌵慣㤹昵〰ち㍤愴ㅣ㡦㑡㤲挱つ敢ち㥤㔲戸扥〰戱ㅢ㤵㔶㉢㈱㠲扡㡤〱㜸㉥攸ㅦ散㘰㐷㔴搰㠴戶ㄹ㈵㘸㉥㠵㜰㕢ㄷ㐱摥改ㄱ愳㄰愴㤶㑣晦扡愸晤攰晢㑣扦戸㤸㠹ぢㄱㄳ㌱搰㤵㘲㍢〰戹挹㤸㈴戹㘸㈲づ㤵㉢挹㈶㠵搶㐸㕣㐷〳㘳㤴〶㥦ㅦ攲晥づ愳㔸㘳㘴㥢ㅡ㙥户㠵㌶戴㘹㙤攷㤰戵攴㔶㙡昵慡㤰慡㌸㤶搵㔲㈳昷〵扥攴挵㍦挵㑤㈹晢ㄲ㙤捡ㄲづ㔲㕣㌲㤱搴扢搵㙤㝣〱摤愵㤰挳ㄸ㑡戶㌱昴㤸攲㤴㤳愱戰㡥ㅢち戴づて㌷慦㉥挸㙢㜳㄰㘹ㅤ㔵㤴㘵换戸㠹搷㠸ㅦ㑢㙥㑢㠰㉤㝢换ㅥ㉤昶㐴搵愲慤慡晡〲㐷㔸愷ㄲ㜸戹ㅣ㡣㤱ㅥ戹㠳㠳㘴㙥㐵㜱摤㕢㙦挹挷捣慤㡢㤱昱愱㌱扡换㌳㔰〶扢ち㐶愲戹慤㌷㙤㙥㡤㜱㕦摡摤挶ㄷ㤱㘹っ〰搳愰〵愴㌲㜰㘶㔱摥摢挰㘱㈸㌲㈵㌶㥡っ愳㌲㐲㌹〱㜷㍤㤰〶㙥攲㌱㝡捤㠳ㄲち㈷攵㤵戰昸㔶攲戴㠳〳㤰攷ㅦ㙤慢㕣㌵㐳㕣㝣㜱㡦戵㔵捦㔴慢㌴㜷攱㥤敢ぢ慣攲搲㠶㌲㐷㈷摢慥㘳挹㌵搱扥㝢愴慤㈱扡㈶㜸㝡扥戸㘸㠶㤵捤㔲戸愳慥㙣昵㑡ㄲ搹㍦挰ㅢ戱敢摢㘹㌳て扡扣㠲扡捤扤㉦㕣㜷扤ㅢ慥㥣㔷㌶攰㝤㍦㕡戱挶搰㄰㈷㔹挸㝣㡣ㅦ㤹昴㑣昶昷ㄸ㜱㍦搳收〰㑤昷〸挷㤱㐹㐹㠳㈹㤴㔳攸〴戶㝢攳扥〰改㘴戲㡤㑥愴㈰㌸㈰ㄴ㜷攳㔳㈳ㄴ敤㜷㐰㉢㠹㐵ㅤ挸戱攷敦㠰昵戵摦愲㠶〸挷㜳㈴㐶戲て愱㤴㠲㍡㈹挸愳换ㅤ扣ち昲晦㠳愵㤸㥢㜷㘵愷晦〲㌳㙢敦戵愳攸㌸㔱昴㥢㑥ㄴ㌱っ㝢㕢〱㙦捥晥攰愸昹㤹㕦敡晤ㅦㅥ㌵扦〴っ㌳㐹㙢っ㈱㌵㠶攲ㅢ挶㠰摥㘱っ㍣㠶㘶㘹っ扣挰㍥㡣搶㉢㘳㈰昲㜶㕣㐶挵摥挶〰㘳㜸㈹㈶㕦㈲愴㥡㜰㘰昰慣㜵搴愱㈷㙣ㄱ㤷㙢㐵㠰戸㍤搴㔳㌰〷摦搳摤㥤搵慢愶㙦㍡挷㘴晤㈵㕦㐰㙤昹㙢戸慤㉤扢戰挷扤扢戶挸㑥扢㜸㈵㘲㙦晡㠱攷㘴㝦㜷搴㠱㈹㤵㤴㥢㕥换㙢戹㑦攰ㄳ搱㜸㐲挸扣㌹昹换㑢㝦㝦攳敤㡢扣㤵ㄶ搱㙡㤶㘱攰㕥㐲昳戴ㅣ㄰扣㑤㕣〸㌹挲㡦㙦㉥攳㈳㈴㝢慢㈶㘶㑤㕦摡㍢㠱攱挴㐵㐵㜸〹挲㔴挴搷て挶㈴敥㌷㈸㘳戲搸收搸㤴ㅦ㉦㐹㘷㘰㌱㌱㜱改扤㡢挳㠳㕡㔷㤵搵愳㕤㤹晤ㄵ㤴捥㙤㑥愴搵ㅥ攴昹㤲㐹搳摥㙤搷㙡攷愸搵愴㤹愸㑤〳㈲㤶㔲㠸㌳㤰㐲㤲㐷ㄶ〶晥愵㤴㕡㐵㈱㕢㐴㤶ㄲ㐱㙢て攵昲攴㝦㈰〴㐴攳㜲㕦㡦ㅦ慡㘰ㄷ㠱挵搸敢摥敢搹㤵㔶㘷慣㥡ㄸ㤲㤵愷㡦㤷㔰㤰挷ㄴ㔶㌰㐶㉢㙢慦愰㄰愷散㈹㤴昶敤㜸攲㑢㐶ㅤㄵ㘰㔳㡣㥤㜵攸㔵㉢㌸捦扢㜵摣昰㠰㥥挹㐹㠵攱ㅥ㘶㌵㡥㥥㌲ㄶ愷㐰ぢ慡㡡昹㤸㉡㌶㍡つ㐷㑤搰㔹敥㌱㥣㍦ㄱ攴攳搷㐰㙣㥦㙥づ㝤愴扤㠵㍡捥ㅤ挲〲昹ぢ晢敢㜸ち㘳攳慤攴ㄸ㐸搸㝤㐱攵搵ㄵ昰ㄲ扡㐸㝢㕥㌳㥡㐵扥㑢搳ㄸ㡢㡥㌹㙢愰㔳晦㌳㑡㉤㌹㙢㡤搰っ㔷户攸晦㙢愸搸㔳晦㙢㡣戱㐹㤴扤ㅣㄵ昸㤰㘵愴㘴捦攰っ㜷〴㍥㙣㠴㘹攴ㄱ搸㤰㐵㠶戶㔵愹㠴㡦㔳㔵戳㤴攰昰㜰つ戶㕦㠱㘸昴愵㙤㍢摣㔵〰㌲ち㤴晤㌹㐴㔰搷晥㥣㜴攷㌹㌶昷㘵㔴㑦㕥戶㉢扥ㄷ㜸㔶㌸㔵㐲㜰㜷㡡摦㤷㔹戰㜹㘶戴㜷摡㠵摡㈳搸㠹㤱㔷搰㘷㜹〵〲晢㐵ㄱ㝥㍡㌱㐷㐶㄰昶ㄷ戱攰㤷㐶攳㠹㌰ㄲ㜵㐳㜰㤷昵㔲摤慣攱攳搴ㄵ昸㌴㐳㔶昵㠵慡㔳㥥攵昶㝢ㄸ摣㌸摣挴㝡〱㝥ㅦ㔱㉢㈲〸㈶㤷昰捡慢摣搵昶㍤㘸㠵㡤搶ㄶ㄰戲㌷摦㕡㈱晢㌳㘰㜴㝦㙦㘹㈵ㄸ扥㤳摦ㅣ㉢扦〷晤愲晢㜷挲㜲愴〹㔰㜸昴愹㌶㥤㕤搳㌵戸挸昶㡥㙦ㄷ戴㉦愲㉦晢ㅢ慦㐶〵㍥㘸昴攲㍤挷挲㑦戱ㅣ㤲㍤捡昸收ㅢ㔹㜷㕡晥挹㙥戴慣昱㐰㐱敡㉢㘸㍦㐶㍢㜷愷戱㑡㑤ㅥㅡ搰㘶慣㈳㡢㤳挶㐳㠳㝣昷㡦〰摣㜸㜷ㄵ戵摤摦晤㐳㠰戶㜸㈵挸㐷ㅡ搵扤㕣ㅢ㤸慤㤱挶㘳㜵㘱㙣愰捥搸㘴㘶㌳㝢つ搹㜸慣㌵挶㈸〸㈹㕤㜲㉡㙣昰摥㐵㤴㤱晥ㅣ晤晤攰攲晢㝦㘴晡攷㐵㑤㡡㍥㌴ㄹ搷㈵㠴捡㌴㡡㍥戹㡡敦㈵㔷攱愰戶晢㉡扥扢摢㉡挶㈹ㄵ㜹搵挴昰㤰㡤㡥㡤ㄳ㔱昲㜹㑢㍤㜳昳昸㍣㍡㍥捥㜵慡㘲㤶㡢㑢昹っ㐷㕡㌹扣戶㐸摦㑢㑥㌹㑦㜳㑡户攵㥤挸㙢摡ㄷ㍣ㅥ昹扢扢ち收㕣㡦ㄱ㜹敤㍢昱㘶㉦㉥挶摦㌸改㔱㡣〸挸㔶㜶㈵㠹㠳ㅢ愹㝤㍢〶㝥昷搷㑤ㄷ㈷ㅡ㤰㐰ㄱち㤸㐴㈴㠱扦ㄵ〳㥦挶昷㔳ㄲ㈶愳慢㍦㤹て㘲㘰ㄲ㥢〴晥㘶っ晣攱改㘳つ攰㤸戶搴挸攳㈴慣〸慤愴㠱ㄴ攳㔵㥡昳㠹捦慡㜹㑡捥㕡㔴㠸挳㤶慡愶㌰㤴㔱摦㥡㔴㠹㈳戸挷攱攳挳收㘵㕣㑡挲敤つ挸㑤昵晦ㅢ㉣攱戲搲扣ㄹ㥡昸㙥㜹ㅢ㜱㘲摦㤰㑦散㥣戳㔶㝣㔴っ㔹㑢〱づ㐹搵扥愲ㄶ攸昷㐱戵搵㝢昸搳㔳㙣挱收㝥挴昱㉤㥤搷㍦㝡搳〷㌲㈶㌲愸㝤㈳㐶㜲收慢㑤昲㌱㙥〰㌹㜰戱㈰㘷愱愰攲㈷㤳㝣搰挸摡㐴㜵㙥〷搹㔸晣ㅦ㐸㑣㙤㑢ㅦ㠷慥㝤㉤ㅥ㉦㐹㌴挶㥢散昰ㄵ㘴〳㜰慥㙡ㄱ挹戵㡣㥢攵㉢昷扤㜶捥慣㔷戵挲戹挸昵つ晦〷搵㄰换㠷</t>
  </si>
  <si>
    <t>Decisioneering:7.0.0.0</t>
  </si>
  <si>
    <t>TV Growth Rate</t>
  </si>
  <si>
    <t>Market Risk Premium</t>
  </si>
  <si>
    <t>PV Terminal Value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</si>
</sst>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1" x14ac:knownFonts="1">
    <font>
      <sz val="10"/>
      <name val="Arial"/>
    </font>
    <font>
      <sz val="10"/>
      <name val="Arial"/>
      <family val="2"/>
    </font>
    <font>
      <b/>
      <sz val="10"/>
      <name val="Arial"/>
      <family val="2"/>
    </font>
    <font>
      <sz val="10"/>
      <name val="Arial"/>
      <family val="2"/>
    </font>
    <font>
      <i/>
      <u/>
      <sz val="10"/>
      <name val="Arial"/>
      <family val="2"/>
    </font>
    <font>
      <sz val="8"/>
      <name val="Arial"/>
      <family val="2"/>
    </font>
    <font>
      <b/>
      <sz val="8"/>
      <color indexed="81"/>
      <name val="Tahoma"/>
      <family val="2"/>
    </font>
    <font>
      <sz val="8"/>
      <color indexed="81"/>
      <name val="Tahoma"/>
      <family val="2"/>
    </font>
    <font>
      <b/>
      <sz val="10"/>
      <color indexed="18"/>
      <name val="Arial"/>
      <family val="2"/>
    </font>
    <font>
      <sz val="9"/>
      <color indexed="81"/>
      <name val="Tahoma"/>
      <family val="2"/>
    </font>
    <font>
      <b/>
      <sz val="9"/>
      <color indexed="81"/>
      <name val="Tahoma"/>
      <family val="2"/>
    </font>
  </fonts>
  <fills count="2">
    <fill>
      <patternFill patternType="none"/>
    </fill>
    <fill>
      <patternFill patternType="gray125"/>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indexed="23"/>
      </bottom>
      <diagonal/>
    </border>
    <border>
      <left/>
      <right/>
      <top style="medium">
        <color indexed="23"/>
      </top>
      <bottom style="medium">
        <color indexed="23"/>
      </bottom>
      <diagonal/>
    </border>
    <border>
      <left/>
      <right/>
      <top style="thin">
        <color indexed="23"/>
      </top>
      <bottom/>
      <diagonal/>
    </border>
    <border>
      <left/>
      <right/>
      <top style="thin">
        <color indexed="23"/>
      </top>
      <bottom style="medium">
        <color indexed="23"/>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6">
    <xf numFmtId="0" fontId="0" fillId="0" borderId="0" xfId="0"/>
    <xf numFmtId="0" fontId="2" fillId="0" borderId="0" xfId="0" applyFont="1"/>
    <xf numFmtId="0" fontId="3" fillId="0" borderId="0" xfId="0" applyFont="1"/>
    <xf numFmtId="1" fontId="3" fillId="0" borderId="0" xfId="0" applyNumberFormat="1" applyFont="1"/>
    <xf numFmtId="1" fontId="2" fillId="0" borderId="0" xfId="0" applyNumberFormat="1" applyFont="1" applyBorder="1"/>
    <xf numFmtId="2" fontId="4" fillId="0" borderId="0" xfId="0" applyNumberFormat="1" applyFont="1" applyFill="1"/>
    <xf numFmtId="2" fontId="3" fillId="0" borderId="0" xfId="0" applyNumberFormat="1" applyFont="1" applyFill="1"/>
    <xf numFmtId="1" fontId="2" fillId="0" borderId="0" xfId="2" applyNumberFormat="1" applyFont="1" applyFill="1" applyBorder="1"/>
    <xf numFmtId="10" fontId="3" fillId="0" borderId="0" xfId="2" applyNumberFormat="1" applyFont="1" applyFill="1" applyBorder="1"/>
    <xf numFmtId="0" fontId="3" fillId="0" borderId="0" xfId="0" applyFont="1" applyBorder="1"/>
    <xf numFmtId="0" fontId="3" fillId="0" borderId="0" xfId="0" applyFont="1" applyFill="1" applyBorder="1"/>
    <xf numFmtId="2" fontId="3" fillId="0" borderId="0" xfId="0" applyNumberFormat="1" applyFont="1" applyFill="1" applyBorder="1" applyAlignment="1">
      <alignment horizontal="right"/>
    </xf>
    <xf numFmtId="2" fontId="3" fillId="0" borderId="0" xfId="0" applyNumberFormat="1" applyFont="1" applyFill="1" applyBorder="1"/>
    <xf numFmtId="2" fontId="3" fillId="0" borderId="0" xfId="0" applyNumberFormat="1" applyFont="1" applyBorder="1"/>
    <xf numFmtId="164" fontId="3" fillId="0" borderId="0" xfId="0" applyNumberFormat="1" applyFont="1"/>
    <xf numFmtId="37" fontId="3" fillId="0" borderId="0" xfId="1" applyNumberFormat="1" applyFont="1" applyBorder="1"/>
    <xf numFmtId="37" fontId="3" fillId="0" borderId="0" xfId="0" applyNumberFormat="1" applyFont="1" applyBorder="1"/>
    <xf numFmtId="0" fontId="3" fillId="0" borderId="1" xfId="0" applyFont="1" applyFill="1" applyBorder="1"/>
    <xf numFmtId="9" fontId="3" fillId="0" borderId="2" xfId="2" applyNumberFormat="1" applyFont="1" applyFill="1" applyBorder="1"/>
    <xf numFmtId="0" fontId="3" fillId="0" borderId="2" xfId="0" applyFont="1" applyBorder="1"/>
    <xf numFmtId="0" fontId="3" fillId="0" borderId="2" xfId="0" applyFont="1" applyFill="1" applyBorder="1"/>
    <xf numFmtId="0" fontId="3" fillId="0" borderId="3" xfId="0" applyFont="1" applyBorder="1"/>
    <xf numFmtId="0" fontId="3" fillId="0" borderId="4" xfId="0" applyFont="1" applyFill="1" applyBorder="1"/>
    <xf numFmtId="0" fontId="3" fillId="0" borderId="5" xfId="0" applyFont="1" applyBorder="1"/>
    <xf numFmtId="2" fontId="3" fillId="0" borderId="5" xfId="0" applyNumberFormat="1" applyFont="1" applyFill="1" applyBorder="1"/>
    <xf numFmtId="0" fontId="3" fillId="0" borderId="6" xfId="0" applyFont="1" applyFill="1" applyBorder="1"/>
    <xf numFmtId="3" fontId="3" fillId="0" borderId="7" xfId="2" applyNumberFormat="1" applyFont="1" applyFill="1" applyBorder="1"/>
    <xf numFmtId="0" fontId="3" fillId="0" borderId="7" xfId="0" applyFont="1" applyBorder="1"/>
    <xf numFmtId="0" fontId="3" fillId="0" borderId="7" xfId="0" applyFont="1" applyFill="1" applyBorder="1"/>
    <xf numFmtId="0" fontId="3" fillId="0" borderId="8" xfId="0" applyFont="1" applyBorder="1"/>
    <xf numFmtId="0" fontId="3" fillId="0" borderId="1" xfId="0" applyFont="1" applyBorder="1"/>
    <xf numFmtId="0" fontId="2" fillId="0" borderId="2" xfId="0" applyFont="1" applyBorder="1" applyAlignment="1">
      <alignment horizontal="right"/>
    </xf>
    <xf numFmtId="0" fontId="2" fillId="0" borderId="2" xfId="0" applyFont="1" applyBorder="1"/>
    <xf numFmtId="0" fontId="2" fillId="0" borderId="3" xfId="0" applyFont="1" applyBorder="1"/>
    <xf numFmtId="0" fontId="3" fillId="0" borderId="4" xfId="0" applyFont="1" applyBorder="1"/>
    <xf numFmtId="37" fontId="3" fillId="0" borderId="5" xfId="0" applyNumberFormat="1" applyFont="1" applyBorder="1"/>
    <xf numFmtId="37" fontId="3" fillId="0" borderId="5" xfId="1" applyNumberFormat="1" applyFont="1" applyBorder="1"/>
    <xf numFmtId="0" fontId="3" fillId="0" borderId="6" xfId="0" applyFont="1" applyBorder="1"/>
    <xf numFmtId="37" fontId="2" fillId="0" borderId="7" xfId="0" applyNumberFormat="1" applyFont="1" applyBorder="1"/>
    <xf numFmtId="37" fontId="3" fillId="0" borderId="7" xfId="0" applyNumberFormat="1" applyFont="1" applyBorder="1"/>
    <xf numFmtId="37" fontId="3" fillId="0" borderId="8" xfId="0" applyNumberFormat="1" applyFont="1" applyBorder="1"/>
    <xf numFmtId="37" fontId="2" fillId="0" borderId="0" xfId="0" applyNumberFormat="1" applyFont="1" applyBorder="1"/>
    <xf numFmtId="0" fontId="2" fillId="0" borderId="0" xfId="0" applyFont="1" applyBorder="1"/>
    <xf numFmtId="3" fontId="3" fillId="0" borderId="3" xfId="0" applyNumberFormat="1" applyFont="1" applyBorder="1"/>
    <xf numFmtId="2" fontId="3" fillId="0" borderId="5" xfId="0" applyNumberFormat="1" applyFont="1" applyBorder="1"/>
    <xf numFmtId="1" fontId="3" fillId="0" borderId="5" xfId="0" applyNumberFormat="1" applyFont="1" applyBorder="1"/>
    <xf numFmtId="164" fontId="3" fillId="0" borderId="5" xfId="0" applyNumberFormat="1" applyFont="1" applyBorder="1"/>
    <xf numFmtId="2" fontId="3" fillId="0" borderId="8" xfId="0" applyNumberFormat="1" applyFont="1" applyBorder="1"/>
    <xf numFmtId="0" fontId="3" fillId="0" borderId="0" xfId="0" applyFont="1" applyFill="1"/>
    <xf numFmtId="0" fontId="2" fillId="0" borderId="0" xfId="0" quotePrefix="1" applyFont="1" applyAlignment="1">
      <alignment horizontal="left"/>
    </xf>
    <xf numFmtId="0" fontId="8" fillId="0" borderId="10" xfId="0" applyFont="1" applyFill="1" applyBorder="1" applyAlignment="1">
      <alignment horizontal="center"/>
    </xf>
    <xf numFmtId="10" fontId="2" fillId="0" borderId="11" xfId="0" applyNumberFormat="1" applyFont="1" applyFill="1" applyBorder="1" applyAlignment="1">
      <alignment horizontal="left"/>
    </xf>
    <xf numFmtId="10" fontId="2" fillId="0" borderId="12" xfId="0" applyNumberFormat="1" applyFont="1" applyFill="1" applyBorder="1" applyAlignment="1">
      <alignment horizontal="left"/>
    </xf>
    <xf numFmtId="10" fontId="2" fillId="0" borderId="10" xfId="0" applyNumberFormat="1" applyFont="1" applyFill="1" applyBorder="1" applyAlignment="1">
      <alignment horizontal="left"/>
    </xf>
    <xf numFmtId="3" fontId="3" fillId="0" borderId="3" xfId="0" applyNumberFormat="1" applyFont="1" applyFill="1" applyBorder="1"/>
    <xf numFmtId="1" fontId="3" fillId="0" borderId="5" xfId="0" applyNumberFormat="1" applyFont="1" applyFill="1" applyBorder="1"/>
    <xf numFmtId="164" fontId="3" fillId="0" borderId="5" xfId="0" applyNumberFormat="1" applyFont="1" applyFill="1" applyBorder="1"/>
    <xf numFmtId="2" fontId="3" fillId="0" borderId="8" xfId="0" applyNumberFormat="1" applyFont="1" applyFill="1" applyBorder="1"/>
    <xf numFmtId="0" fontId="0" fillId="0" borderId="0" xfId="0" quotePrefix="1"/>
    <xf numFmtId="0" fontId="2" fillId="0" borderId="0" xfId="0" applyFont="1" applyAlignment="1">
      <alignment horizontal="left"/>
    </xf>
    <xf numFmtId="0" fontId="1" fillId="0" borderId="4" xfId="0" applyFont="1" applyBorder="1"/>
    <xf numFmtId="0" fontId="2" fillId="0" borderId="0" xfId="0" applyFont="1" applyAlignment="1">
      <alignment horizontal="left"/>
    </xf>
    <xf numFmtId="0" fontId="2" fillId="0" borderId="9" xfId="0" applyFont="1" applyBorder="1" applyAlignment="1">
      <alignment horizontal="left"/>
    </xf>
    <xf numFmtId="1" fontId="0" fillId="0" borderId="11" xfId="0" applyNumberFormat="1" applyFill="1" applyBorder="1" applyAlignment="1"/>
    <xf numFmtId="1" fontId="2" fillId="0" borderId="11" xfId="0" applyNumberFormat="1" applyFont="1" applyFill="1" applyBorder="1" applyAlignment="1"/>
    <xf numFmtId="1" fontId="0" fillId="0" borderId="12" xfId="0" applyNumberFormat="1" applyFill="1" applyBorder="1" applyAlignment="1"/>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9525</xdr:colOff>
      <xdr:row>0</xdr:row>
      <xdr:rowOff>9525</xdr:rowOff>
    </xdr:to>
    <xdr:pic>
      <xdr:nvPicPr>
        <xdr:cNvPr id="12318" name="CB_00000000000000000000000000000000" hidden="1"/>
        <xdr:cNvPicPr>
          <a:picLocks noGrp="1"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5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9525</xdr:rowOff>
    </xdr:to>
    <xdr:pic>
      <xdr:nvPicPr>
        <xdr:cNvPr id="12319" name="CB_00000000000000000000000000000001" hidden="1"/>
        <xdr:cNvPicPr>
          <a:picLocks noGrp="1"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5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0</xdr:colOff>
      <xdr:row>0</xdr:row>
      <xdr:rowOff>0</xdr:rowOff>
    </xdr:from>
    <xdr:to>
      <xdr:col>0</xdr:col>
      <xdr:colOff>9525</xdr:colOff>
      <xdr:row>0</xdr:row>
      <xdr:rowOff>9525</xdr:rowOff>
    </xdr:to>
    <xdr:pic>
      <xdr:nvPicPr>
        <xdr:cNvPr id="12322" name="CB_00000000000000000000000000000003" hidden="1"/>
        <xdr:cNvPicPr>
          <a:picLocks noGrp="1"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525" cy="9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U65534"/>
  <sheetViews>
    <sheetView zoomScale="90" zoomScaleNormal="90" workbookViewId="0">
      <selection activeCell="A2" sqref="A2"/>
    </sheetView>
  </sheetViews>
  <sheetFormatPr defaultColWidth="9.140625" defaultRowHeight="12.75" x14ac:dyDescent="0.2"/>
  <cols>
    <col min="1" max="1" width="26.28515625" style="2" customWidth="1"/>
    <col min="2" max="2" width="13.7109375" style="2" customWidth="1"/>
    <col min="3" max="12" width="12.140625" style="2" customWidth="1"/>
    <col min="13" max="13" width="7.28515625" style="2" customWidth="1"/>
    <col min="14" max="14" width="13.7109375" style="2" customWidth="1"/>
    <col min="15" max="15" width="11" style="2" customWidth="1"/>
    <col min="16" max="16384" width="9.140625" style="2"/>
  </cols>
  <sheetData>
    <row r="1" spans="1:12" x14ac:dyDescent="0.2">
      <c r="A1" s="49" t="s">
        <v>34</v>
      </c>
    </row>
    <row r="2" spans="1:12" x14ac:dyDescent="0.2">
      <c r="A2" s="5"/>
      <c r="B2" s="6"/>
      <c r="C2" s="6"/>
      <c r="D2" s="6"/>
    </row>
    <row r="3" spans="1:12" ht="13.5" thickBot="1" x14ac:dyDescent="0.25">
      <c r="A3" s="1" t="s">
        <v>0</v>
      </c>
      <c r="B3" s="6"/>
      <c r="C3" s="7">
        <v>1996</v>
      </c>
      <c r="D3" s="4">
        <v>1997</v>
      </c>
      <c r="E3" s="7">
        <v>1998</v>
      </c>
      <c r="F3" s="4">
        <v>1999</v>
      </c>
      <c r="G3" s="7">
        <v>2000</v>
      </c>
      <c r="H3" s="4">
        <v>2001</v>
      </c>
      <c r="I3" s="7">
        <v>2002</v>
      </c>
      <c r="J3" s="4">
        <v>2003</v>
      </c>
      <c r="K3" s="7">
        <v>2004</v>
      </c>
      <c r="L3" s="4">
        <v>2005</v>
      </c>
    </row>
    <row r="4" spans="1:12" x14ac:dyDescent="0.2">
      <c r="A4" s="17" t="s">
        <v>1</v>
      </c>
      <c r="B4" s="18">
        <v>0.65</v>
      </c>
      <c r="C4" s="19"/>
      <c r="D4" s="20"/>
      <c r="E4" s="19"/>
      <c r="F4" s="19"/>
      <c r="G4" s="19"/>
      <c r="H4" s="19"/>
      <c r="I4" s="19"/>
      <c r="J4" s="19"/>
      <c r="K4" s="19"/>
      <c r="L4" s="21"/>
    </row>
    <row r="5" spans="1:12" x14ac:dyDescent="0.2">
      <c r="A5" s="22" t="s">
        <v>2</v>
      </c>
      <c r="B5" s="8">
        <v>0.04</v>
      </c>
      <c r="C5" s="9"/>
      <c r="D5" s="10"/>
      <c r="E5" s="9"/>
      <c r="F5" s="9"/>
      <c r="G5" s="9"/>
      <c r="H5" s="9"/>
      <c r="I5" s="9"/>
      <c r="J5" s="9"/>
      <c r="K5" s="9"/>
      <c r="L5" s="23"/>
    </row>
    <row r="6" spans="1:12" x14ac:dyDescent="0.2">
      <c r="A6" s="22" t="s">
        <v>18</v>
      </c>
      <c r="B6" s="8">
        <v>0.104</v>
      </c>
      <c r="C6" s="9"/>
      <c r="D6" s="10"/>
      <c r="E6" s="9"/>
      <c r="F6" s="9"/>
      <c r="G6" s="9"/>
      <c r="H6" s="9"/>
      <c r="I6" s="9"/>
      <c r="J6" s="9"/>
      <c r="K6" s="9"/>
      <c r="L6" s="23"/>
    </row>
    <row r="7" spans="1:12" x14ac:dyDescent="0.2">
      <c r="A7" s="22" t="s">
        <v>25</v>
      </c>
      <c r="B7" s="8">
        <v>0.36799999999999999</v>
      </c>
      <c r="C7" s="9"/>
      <c r="D7" s="10"/>
      <c r="E7" s="9"/>
      <c r="F7" s="9"/>
      <c r="G7" s="9"/>
      <c r="H7" s="9"/>
      <c r="I7" s="9"/>
      <c r="J7" s="9"/>
      <c r="K7" s="9"/>
      <c r="L7" s="23"/>
    </row>
    <row r="8" spans="1:12" x14ac:dyDescent="0.2">
      <c r="A8" s="22" t="s">
        <v>21</v>
      </c>
      <c r="B8" s="8">
        <v>0.34</v>
      </c>
      <c r="C8" s="9"/>
      <c r="D8" s="10"/>
      <c r="E8" s="9"/>
      <c r="F8" s="9"/>
      <c r="G8" s="9"/>
      <c r="H8" s="9"/>
      <c r="I8" s="9"/>
      <c r="J8" s="9"/>
      <c r="K8" s="9"/>
      <c r="L8" s="23"/>
    </row>
    <row r="9" spans="1:12" x14ac:dyDescent="0.2">
      <c r="A9" s="22" t="s">
        <v>3</v>
      </c>
      <c r="B9" s="10"/>
      <c r="C9" s="11">
        <v>0.8</v>
      </c>
      <c r="D9" s="12">
        <v>0.65</v>
      </c>
      <c r="E9" s="13">
        <v>0.55000000000000004</v>
      </c>
      <c r="F9" s="12">
        <v>0.45</v>
      </c>
      <c r="G9" s="12">
        <v>0.35</v>
      </c>
      <c r="H9" s="12">
        <v>0.25</v>
      </c>
      <c r="I9" s="12">
        <v>0.2</v>
      </c>
      <c r="J9" s="12">
        <v>0.2</v>
      </c>
      <c r="K9" s="12">
        <v>0.2</v>
      </c>
      <c r="L9" s="24">
        <v>0.2</v>
      </c>
    </row>
    <row r="10" spans="1:12" x14ac:dyDescent="0.2">
      <c r="A10" s="22" t="s">
        <v>4</v>
      </c>
      <c r="B10" s="10"/>
      <c r="C10" s="11">
        <v>0.45</v>
      </c>
      <c r="D10" s="12">
        <v>0.4</v>
      </c>
      <c r="E10" s="13">
        <v>0.3</v>
      </c>
      <c r="F10" s="12">
        <v>0.2</v>
      </c>
      <c r="G10" s="12">
        <v>0.1</v>
      </c>
      <c r="H10" s="12">
        <v>0.1</v>
      </c>
      <c r="I10" s="12">
        <v>0.1</v>
      </c>
      <c r="J10" s="12">
        <v>0.1</v>
      </c>
      <c r="K10" s="12">
        <v>0.1</v>
      </c>
      <c r="L10" s="24">
        <v>0.1</v>
      </c>
    </row>
    <row r="11" spans="1:12" x14ac:dyDescent="0.2">
      <c r="A11" s="22" t="s">
        <v>19</v>
      </c>
      <c r="B11" s="8">
        <v>5.5E-2</v>
      </c>
      <c r="C11" s="9"/>
      <c r="D11" s="10"/>
      <c r="E11" s="9"/>
      <c r="F11" s="9" t="s">
        <v>17</v>
      </c>
      <c r="G11" s="9"/>
      <c r="H11" s="9"/>
      <c r="I11" s="9"/>
      <c r="J11" s="9"/>
      <c r="K11" s="9"/>
      <c r="L11" s="23"/>
    </row>
    <row r="12" spans="1:12" x14ac:dyDescent="0.2">
      <c r="A12" s="22" t="s">
        <v>6</v>
      </c>
      <c r="B12" s="8">
        <v>0</v>
      </c>
      <c r="C12" s="9"/>
      <c r="D12" s="10"/>
      <c r="E12" s="9"/>
      <c r="F12" s="9"/>
      <c r="G12" s="9"/>
      <c r="H12" s="9"/>
      <c r="I12" s="9"/>
      <c r="J12" s="9"/>
      <c r="K12" s="9"/>
      <c r="L12" s="23"/>
    </row>
    <row r="13" spans="1:12" x14ac:dyDescent="0.2">
      <c r="A13" s="22" t="s">
        <v>7</v>
      </c>
      <c r="B13" s="12">
        <v>1.5</v>
      </c>
      <c r="C13" s="9"/>
      <c r="D13" s="10"/>
      <c r="E13" s="9"/>
      <c r="F13" s="9"/>
      <c r="G13" s="9"/>
      <c r="H13" s="9"/>
      <c r="I13" s="9"/>
      <c r="J13" s="9"/>
      <c r="K13" s="9"/>
      <c r="L13" s="23"/>
    </row>
    <row r="14" spans="1:12" x14ac:dyDescent="0.2">
      <c r="A14" s="22" t="s">
        <v>8</v>
      </c>
      <c r="B14" s="8">
        <v>6.7100000000000007E-2</v>
      </c>
      <c r="C14" s="9"/>
      <c r="D14" s="10"/>
      <c r="E14" s="9"/>
      <c r="F14" s="9"/>
      <c r="G14" s="9"/>
      <c r="H14" s="9"/>
      <c r="I14" s="9"/>
      <c r="J14" s="9"/>
      <c r="K14" s="9"/>
      <c r="L14" s="23"/>
    </row>
    <row r="15" spans="1:12" x14ac:dyDescent="0.2">
      <c r="A15" s="22" t="s">
        <v>22</v>
      </c>
      <c r="B15" s="8">
        <v>7.4999999999999997E-2</v>
      </c>
      <c r="C15" s="9"/>
      <c r="D15" s="10"/>
      <c r="E15" s="9"/>
      <c r="F15" s="9"/>
      <c r="G15" s="9"/>
      <c r="H15" s="9"/>
      <c r="I15" s="9"/>
      <c r="J15" s="9"/>
      <c r="K15" s="9"/>
      <c r="L15" s="23"/>
    </row>
    <row r="16" spans="1:12" x14ac:dyDescent="0.2">
      <c r="A16" s="22" t="s">
        <v>36</v>
      </c>
      <c r="B16" s="8">
        <f>B14+(B13*B15)</f>
        <v>0.17959999999999998</v>
      </c>
      <c r="C16" s="9"/>
      <c r="D16" s="10"/>
      <c r="E16" s="9"/>
      <c r="F16" s="9"/>
      <c r="G16" s="9"/>
      <c r="H16" s="9"/>
      <c r="I16" s="9"/>
      <c r="J16" s="9"/>
      <c r="K16" s="9"/>
      <c r="L16" s="23"/>
    </row>
    <row r="17" spans="1:12" ht="13.5" thickBot="1" x14ac:dyDescent="0.25">
      <c r="A17" s="25" t="s">
        <v>38</v>
      </c>
      <c r="B17" s="26">
        <v>38000</v>
      </c>
      <c r="C17" s="27"/>
      <c r="D17" s="28"/>
      <c r="E17" s="27"/>
      <c r="F17" s="27"/>
      <c r="G17" s="27"/>
      <c r="H17" s="27"/>
      <c r="I17" s="27"/>
      <c r="J17" s="27"/>
      <c r="K17" s="27"/>
      <c r="L17" s="29"/>
    </row>
    <row r="18" spans="1:12" x14ac:dyDescent="0.2">
      <c r="A18" s="10"/>
      <c r="B18" s="8"/>
      <c r="C18" s="9"/>
      <c r="D18" s="10"/>
      <c r="E18" s="9"/>
      <c r="F18" s="9"/>
      <c r="G18" s="9"/>
      <c r="H18" s="9"/>
      <c r="I18" s="9"/>
      <c r="J18" s="9"/>
      <c r="K18" s="9"/>
      <c r="L18" s="9"/>
    </row>
    <row r="19" spans="1:12" ht="13.5" thickBot="1" x14ac:dyDescent="0.25">
      <c r="A19" s="1" t="s">
        <v>31</v>
      </c>
      <c r="C19" s="1" t="s">
        <v>17</v>
      </c>
      <c r="D19" s="1"/>
      <c r="E19" s="1"/>
      <c r="F19" s="1"/>
      <c r="G19" s="1"/>
      <c r="H19" s="1"/>
      <c r="I19" s="1"/>
      <c r="J19" s="1"/>
      <c r="K19" s="1"/>
      <c r="L19" s="1"/>
    </row>
    <row r="20" spans="1:12" x14ac:dyDescent="0.2">
      <c r="A20" s="30"/>
      <c r="B20" s="31" t="s">
        <v>16</v>
      </c>
      <c r="C20" s="32" t="s">
        <v>20</v>
      </c>
      <c r="D20" s="32"/>
      <c r="E20" s="32"/>
      <c r="F20" s="32"/>
      <c r="G20" s="32"/>
      <c r="H20" s="32"/>
      <c r="I20" s="32"/>
      <c r="J20" s="32"/>
      <c r="K20" s="32"/>
      <c r="L20" s="33"/>
    </row>
    <row r="21" spans="1:12" x14ac:dyDescent="0.2">
      <c r="A21" s="60" t="s">
        <v>9</v>
      </c>
      <c r="B21" s="15">
        <v>33250</v>
      </c>
      <c r="C21" s="16">
        <f>B21*(1+$B$4)</f>
        <v>54862.5</v>
      </c>
      <c r="D21" s="16">
        <f t="shared" ref="D21:L21" si="0">C21*(1+$B$4)</f>
        <v>90523.125</v>
      </c>
      <c r="E21" s="16">
        <f t="shared" si="0"/>
        <v>149363.15625</v>
      </c>
      <c r="F21" s="16">
        <f t="shared" si="0"/>
        <v>246449.20781249998</v>
      </c>
      <c r="G21" s="16">
        <f t="shared" si="0"/>
        <v>406641.19289062492</v>
      </c>
      <c r="H21" s="16">
        <f t="shared" si="0"/>
        <v>670957.96826953103</v>
      </c>
      <c r="I21" s="16">
        <f t="shared" si="0"/>
        <v>1107080.6476447261</v>
      </c>
      <c r="J21" s="16">
        <f t="shared" si="0"/>
        <v>1826683.0686137979</v>
      </c>
      <c r="K21" s="16">
        <f t="shared" si="0"/>
        <v>3014027.0632127663</v>
      </c>
      <c r="L21" s="35">
        <f t="shared" si="0"/>
        <v>4973144.6543010641</v>
      </c>
    </row>
    <row r="22" spans="1:12" x14ac:dyDescent="0.2">
      <c r="A22" s="34" t="s">
        <v>10</v>
      </c>
      <c r="B22" s="15">
        <v>3472</v>
      </c>
      <c r="C22" s="16">
        <f>C21*$B$6</f>
        <v>5705.7</v>
      </c>
      <c r="D22" s="16">
        <f t="shared" ref="D22:L22" si="1">D21*$B$6</f>
        <v>9414.4049999999988</v>
      </c>
      <c r="E22" s="16">
        <f t="shared" si="1"/>
        <v>15533.768249999999</v>
      </c>
      <c r="F22" s="16">
        <f t="shared" si="1"/>
        <v>25630.717612499997</v>
      </c>
      <c r="G22" s="16">
        <f t="shared" si="1"/>
        <v>42290.68406062499</v>
      </c>
      <c r="H22" s="16">
        <f t="shared" si="1"/>
        <v>69779.62870003123</v>
      </c>
      <c r="I22" s="16">
        <f t="shared" si="1"/>
        <v>115136.38735505151</v>
      </c>
      <c r="J22" s="16">
        <f t="shared" si="1"/>
        <v>189975.03913583496</v>
      </c>
      <c r="K22" s="16">
        <f t="shared" si="1"/>
        <v>313458.81457412767</v>
      </c>
      <c r="L22" s="35">
        <f t="shared" si="1"/>
        <v>517207.04404731066</v>
      </c>
    </row>
    <row r="23" spans="1:12" x14ac:dyDescent="0.2">
      <c r="A23" s="34" t="s">
        <v>11</v>
      </c>
      <c r="B23" s="15">
        <v>12230</v>
      </c>
      <c r="C23" s="16">
        <f>C21*$B$7</f>
        <v>20189.400000000001</v>
      </c>
      <c r="D23" s="16">
        <f t="shared" ref="D23:L23" si="2">D21*$B$7</f>
        <v>33312.51</v>
      </c>
      <c r="E23" s="16">
        <f t="shared" si="2"/>
        <v>54965.641499999998</v>
      </c>
      <c r="F23" s="16">
        <f t="shared" si="2"/>
        <v>90693.308474999998</v>
      </c>
      <c r="G23" s="16">
        <f t="shared" si="2"/>
        <v>149643.95898374997</v>
      </c>
      <c r="H23" s="16">
        <f t="shared" si="2"/>
        <v>246912.53232318742</v>
      </c>
      <c r="I23" s="16">
        <f t="shared" si="2"/>
        <v>407405.67833325919</v>
      </c>
      <c r="J23" s="16">
        <f t="shared" si="2"/>
        <v>672219.36924987764</v>
      </c>
      <c r="K23" s="16">
        <f t="shared" si="2"/>
        <v>1109161.959262298</v>
      </c>
      <c r="L23" s="35">
        <f t="shared" si="2"/>
        <v>1830117.2327827916</v>
      </c>
    </row>
    <row r="24" spans="1:12" x14ac:dyDescent="0.2">
      <c r="A24" s="34" t="s">
        <v>5</v>
      </c>
      <c r="B24" s="15">
        <v>1836</v>
      </c>
      <c r="C24" s="16">
        <f>C21*$B$11</f>
        <v>3017.4375</v>
      </c>
      <c r="D24" s="16">
        <f t="shared" ref="D24:L24" si="3">D21*$B$11</f>
        <v>4978.7718750000004</v>
      </c>
      <c r="E24" s="16">
        <f t="shared" si="3"/>
        <v>8214.9735937500009</v>
      </c>
      <c r="F24" s="16">
        <f t="shared" si="3"/>
        <v>13554.7064296875</v>
      </c>
      <c r="G24" s="16">
        <f t="shared" si="3"/>
        <v>22365.265608984369</v>
      </c>
      <c r="H24" s="16">
        <f t="shared" si="3"/>
        <v>36902.688254824207</v>
      </c>
      <c r="I24" s="16">
        <f t="shared" si="3"/>
        <v>60889.435620459939</v>
      </c>
      <c r="J24" s="16">
        <f t="shared" si="3"/>
        <v>100467.56877375889</v>
      </c>
      <c r="K24" s="16">
        <f t="shared" si="3"/>
        <v>165771.48847670216</v>
      </c>
      <c r="L24" s="35">
        <f t="shared" si="3"/>
        <v>273522.95598655852</v>
      </c>
    </row>
    <row r="25" spans="1:12" x14ac:dyDescent="0.2">
      <c r="A25" s="34" t="s">
        <v>3</v>
      </c>
      <c r="B25" s="15">
        <v>26898</v>
      </c>
      <c r="C25" s="16">
        <f t="shared" ref="C25:L25" si="4">C21*C9</f>
        <v>43890</v>
      </c>
      <c r="D25" s="16">
        <f t="shared" si="4"/>
        <v>58840.03125</v>
      </c>
      <c r="E25" s="16">
        <f t="shared" si="4"/>
        <v>82149.735937500009</v>
      </c>
      <c r="F25" s="16">
        <f t="shared" si="4"/>
        <v>110902.14351562499</v>
      </c>
      <c r="G25" s="16">
        <f t="shared" si="4"/>
        <v>142324.41751171873</v>
      </c>
      <c r="H25" s="16">
        <f t="shared" si="4"/>
        <v>167739.49206738276</v>
      </c>
      <c r="I25" s="16">
        <f t="shared" si="4"/>
        <v>221416.12952894522</v>
      </c>
      <c r="J25" s="16">
        <f t="shared" si="4"/>
        <v>365336.61372275959</v>
      </c>
      <c r="K25" s="16">
        <f t="shared" si="4"/>
        <v>602805.41264255333</v>
      </c>
      <c r="L25" s="35">
        <f t="shared" si="4"/>
        <v>994628.93086021289</v>
      </c>
    </row>
    <row r="26" spans="1:12" x14ac:dyDescent="0.2">
      <c r="A26" s="34" t="s">
        <v>12</v>
      </c>
      <c r="B26" s="15">
        <f>B21-B22-B23-B24-B25</f>
        <v>-11186</v>
      </c>
      <c r="C26" s="15">
        <f t="shared" ref="C26:L26" si="5">C21-C22-C23-C24-C25</f>
        <v>-17940.037499999999</v>
      </c>
      <c r="D26" s="15">
        <f t="shared" si="5"/>
        <v>-16022.593124999999</v>
      </c>
      <c r="E26" s="15">
        <f t="shared" si="5"/>
        <v>-11500.963031250008</v>
      </c>
      <c r="F26" s="15">
        <f>F21-F22-F23-F24-F25</f>
        <v>5668.3317796875053</v>
      </c>
      <c r="G26" s="15">
        <f t="shared" si="5"/>
        <v>50016.86672554689</v>
      </c>
      <c r="H26" s="15">
        <f t="shared" si="5"/>
        <v>149623.62692410543</v>
      </c>
      <c r="I26" s="15">
        <f t="shared" si="5"/>
        <v>302233.01680701028</v>
      </c>
      <c r="J26" s="15">
        <f t="shared" si="5"/>
        <v>498684.47773156682</v>
      </c>
      <c r="K26" s="15">
        <f t="shared" si="5"/>
        <v>822829.38825708523</v>
      </c>
      <c r="L26" s="36">
        <f t="shared" si="5"/>
        <v>1357668.4906241903</v>
      </c>
    </row>
    <row r="27" spans="1:12" x14ac:dyDescent="0.2">
      <c r="A27" s="34" t="s">
        <v>13</v>
      </c>
      <c r="B27" s="15">
        <f>B26*$B$8</f>
        <v>-3803.2400000000002</v>
      </c>
      <c r="C27" s="15">
        <f t="shared" ref="C27:L27" si="6">C26*$B$8</f>
        <v>-6099.6127500000002</v>
      </c>
      <c r="D27" s="15">
        <f t="shared" si="6"/>
        <v>-5447.6816625000001</v>
      </c>
      <c r="E27" s="15">
        <f t="shared" si="6"/>
        <v>-3910.3274306250032</v>
      </c>
      <c r="F27" s="15">
        <f t="shared" si="6"/>
        <v>1927.2328050937519</v>
      </c>
      <c r="G27" s="15">
        <f t="shared" si="6"/>
        <v>17005.734686685944</v>
      </c>
      <c r="H27" s="15">
        <f t="shared" si="6"/>
        <v>50872.033154195851</v>
      </c>
      <c r="I27" s="15">
        <f t="shared" si="6"/>
        <v>102759.2257143835</v>
      </c>
      <c r="J27" s="15">
        <f t="shared" si="6"/>
        <v>169552.72242873273</v>
      </c>
      <c r="K27" s="15">
        <f t="shared" si="6"/>
        <v>279761.99200740899</v>
      </c>
      <c r="L27" s="36">
        <f t="shared" si="6"/>
        <v>461607.28681222472</v>
      </c>
    </row>
    <row r="28" spans="1:12" x14ac:dyDescent="0.2">
      <c r="A28" s="34" t="s">
        <v>14</v>
      </c>
      <c r="B28" s="15">
        <f>B26-B27</f>
        <v>-7382.76</v>
      </c>
      <c r="C28" s="15">
        <f t="shared" ref="C28:L28" si="7">C26-C27</f>
        <v>-11840.424749999998</v>
      </c>
      <c r="D28" s="15">
        <f t="shared" si="7"/>
        <v>-10574.9114625</v>
      </c>
      <c r="E28" s="15">
        <f t="shared" si="7"/>
        <v>-7590.6356006250053</v>
      </c>
      <c r="F28" s="15">
        <f>F26-F27</f>
        <v>3741.0989745937532</v>
      </c>
      <c r="G28" s="15">
        <f t="shared" si="7"/>
        <v>33011.132038860946</v>
      </c>
      <c r="H28" s="15">
        <f t="shared" si="7"/>
        <v>98751.593769909581</v>
      </c>
      <c r="I28" s="15">
        <f t="shared" si="7"/>
        <v>199473.79109262678</v>
      </c>
      <c r="J28" s="15">
        <f t="shared" si="7"/>
        <v>329131.75530283409</v>
      </c>
      <c r="K28" s="15">
        <f t="shared" si="7"/>
        <v>543067.39624967624</v>
      </c>
      <c r="L28" s="36">
        <f t="shared" si="7"/>
        <v>896061.20381196565</v>
      </c>
    </row>
    <row r="29" spans="1:12" x14ac:dyDescent="0.2">
      <c r="A29" s="34"/>
      <c r="B29" s="16"/>
      <c r="C29" s="16"/>
      <c r="D29" s="16"/>
      <c r="E29" s="16"/>
      <c r="F29" s="16"/>
      <c r="G29" s="16"/>
      <c r="H29" s="16"/>
      <c r="I29" s="16"/>
      <c r="J29" s="16"/>
      <c r="K29" s="16"/>
      <c r="L29" s="35"/>
    </row>
    <row r="30" spans="1:12" x14ac:dyDescent="0.2">
      <c r="A30" s="34" t="s">
        <v>4</v>
      </c>
      <c r="B30" s="15">
        <v>15236</v>
      </c>
      <c r="C30" s="16">
        <f t="shared" ref="C30:L30" si="8">C21*C10</f>
        <v>24688.125</v>
      </c>
      <c r="D30" s="16">
        <f t="shared" si="8"/>
        <v>36209.25</v>
      </c>
      <c r="E30" s="16">
        <f t="shared" si="8"/>
        <v>44808.946875000001</v>
      </c>
      <c r="F30" s="16">
        <f t="shared" si="8"/>
        <v>49289.841562499998</v>
      </c>
      <c r="G30" s="16">
        <f t="shared" si="8"/>
        <v>40664.119289062495</v>
      </c>
      <c r="H30" s="16">
        <f t="shared" si="8"/>
        <v>67095.796826953112</v>
      </c>
      <c r="I30" s="16">
        <f t="shared" si="8"/>
        <v>110708.06476447261</v>
      </c>
      <c r="J30" s="16">
        <f t="shared" si="8"/>
        <v>182668.3068613798</v>
      </c>
      <c r="K30" s="16">
        <f t="shared" si="8"/>
        <v>301402.70632127667</v>
      </c>
      <c r="L30" s="35">
        <f t="shared" si="8"/>
        <v>497314.46543010644</v>
      </c>
    </row>
    <row r="31" spans="1:12" x14ac:dyDescent="0.2">
      <c r="A31" s="34" t="s">
        <v>35</v>
      </c>
      <c r="B31" s="15">
        <v>0</v>
      </c>
      <c r="C31" s="15">
        <v>0</v>
      </c>
      <c r="D31" s="15">
        <v>0</v>
      </c>
      <c r="E31" s="15">
        <v>0</v>
      </c>
      <c r="F31" s="15">
        <v>0</v>
      </c>
      <c r="G31" s="15">
        <v>0</v>
      </c>
      <c r="H31" s="15">
        <v>0</v>
      </c>
      <c r="I31" s="15">
        <v>0</v>
      </c>
      <c r="J31" s="15">
        <v>0</v>
      </c>
      <c r="K31" s="15">
        <v>0</v>
      </c>
      <c r="L31" s="36">
        <v>0</v>
      </c>
    </row>
    <row r="32" spans="1:12" x14ac:dyDescent="0.2">
      <c r="A32" s="34"/>
      <c r="B32" s="15"/>
      <c r="C32" s="16"/>
      <c r="D32" s="16"/>
      <c r="E32" s="16"/>
      <c r="F32" s="16"/>
      <c r="G32" s="16"/>
      <c r="H32" s="16"/>
      <c r="I32" s="16"/>
      <c r="J32" s="16"/>
      <c r="K32" s="16"/>
      <c r="L32" s="35"/>
    </row>
    <row r="33" spans="1:12" x14ac:dyDescent="0.2">
      <c r="A33" s="34" t="s">
        <v>15</v>
      </c>
      <c r="B33" s="15">
        <f>B28+B24-B30-B31</f>
        <v>-20782.760000000002</v>
      </c>
      <c r="C33" s="15">
        <f t="shared" ref="C33:L33" si="9">C28+C24-C30-C31</f>
        <v>-33511.112249999998</v>
      </c>
      <c r="D33" s="15">
        <f t="shared" si="9"/>
        <v>-41805.389587500002</v>
      </c>
      <c r="E33" s="15">
        <f t="shared" si="9"/>
        <v>-44184.608881875007</v>
      </c>
      <c r="F33" s="15">
        <f t="shared" si="9"/>
        <v>-31994.036158218747</v>
      </c>
      <c r="G33" s="15">
        <f t="shared" si="9"/>
        <v>14712.278358782816</v>
      </c>
      <c r="H33" s="15">
        <f t="shared" si="9"/>
        <v>68558.485197780668</v>
      </c>
      <c r="I33" s="15">
        <f t="shared" si="9"/>
        <v>149655.16194861411</v>
      </c>
      <c r="J33" s="15">
        <f t="shared" si="9"/>
        <v>246931.01721521319</v>
      </c>
      <c r="K33" s="15">
        <f t="shared" si="9"/>
        <v>407436.1784051017</v>
      </c>
      <c r="L33" s="36">
        <f t="shared" si="9"/>
        <v>672269.69436841761</v>
      </c>
    </row>
    <row r="34" spans="1:12" x14ac:dyDescent="0.2">
      <c r="A34" s="34" t="s">
        <v>37</v>
      </c>
      <c r="B34" s="15">
        <f>(L33*(1+B5))/(B16-B5)</f>
        <v>5008312.9093349176</v>
      </c>
      <c r="C34" s="16"/>
      <c r="D34" s="16"/>
      <c r="E34" s="16"/>
      <c r="F34" s="16"/>
      <c r="G34" s="16"/>
      <c r="H34" s="16"/>
      <c r="I34" s="16"/>
      <c r="J34" s="16"/>
      <c r="K34" s="16"/>
      <c r="L34" s="35"/>
    </row>
    <row r="35" spans="1:12" x14ac:dyDescent="0.2">
      <c r="A35" s="34" t="s">
        <v>23</v>
      </c>
      <c r="B35" s="16">
        <f>B33+NPV(B16,C33:L33)</f>
        <v>243196.08293391636</v>
      </c>
      <c r="C35" s="16"/>
      <c r="D35" s="16"/>
      <c r="E35" s="16"/>
      <c r="F35" s="16"/>
      <c r="G35" s="16"/>
      <c r="H35" s="16"/>
      <c r="I35" s="16"/>
      <c r="J35" s="16"/>
      <c r="K35" s="16"/>
      <c r="L35" s="35"/>
    </row>
    <row r="36" spans="1:12" x14ac:dyDescent="0.2">
      <c r="A36" s="34" t="s">
        <v>33</v>
      </c>
      <c r="B36" s="16">
        <f>B34/(1+B16)^11</f>
        <v>813971.2249351159</v>
      </c>
      <c r="C36" s="16"/>
      <c r="D36" s="16"/>
      <c r="E36" s="16"/>
      <c r="F36" s="16"/>
      <c r="G36" s="16"/>
      <c r="H36" s="16"/>
      <c r="I36" s="16"/>
      <c r="J36" s="16"/>
      <c r="K36" s="16"/>
      <c r="L36" s="35"/>
    </row>
    <row r="37" spans="1:12" ht="13.5" thickBot="1" x14ac:dyDescent="0.25">
      <c r="A37" s="37" t="s">
        <v>24</v>
      </c>
      <c r="B37" s="38">
        <f>B35+B36</f>
        <v>1057167.3078690323</v>
      </c>
      <c r="C37" s="39"/>
      <c r="D37" s="39"/>
      <c r="E37" s="39"/>
      <c r="F37" s="39"/>
      <c r="G37" s="39"/>
      <c r="H37" s="39"/>
      <c r="I37" s="39"/>
      <c r="J37" s="39"/>
      <c r="K37" s="39"/>
      <c r="L37" s="40"/>
    </row>
    <row r="38" spans="1:12" x14ac:dyDescent="0.2">
      <c r="A38" s="9"/>
      <c r="B38" s="41"/>
      <c r="C38" s="16"/>
      <c r="D38" s="16"/>
      <c r="E38" s="16"/>
      <c r="F38" s="16"/>
      <c r="G38" s="16"/>
      <c r="H38" s="16"/>
      <c r="I38" s="16"/>
      <c r="J38" s="16"/>
      <c r="K38" s="16"/>
      <c r="L38" s="16"/>
    </row>
    <row r="39" spans="1:12" ht="13.5" thickBot="1" x14ac:dyDescent="0.25">
      <c r="A39" s="42" t="s">
        <v>26</v>
      </c>
    </row>
    <row r="40" spans="1:12" x14ac:dyDescent="0.2">
      <c r="A40" s="30" t="s">
        <v>27</v>
      </c>
      <c r="B40" s="43">
        <f>B37</f>
        <v>1057167.3078690323</v>
      </c>
    </row>
    <row r="41" spans="1:12" x14ac:dyDescent="0.2">
      <c r="A41" s="34" t="s">
        <v>39</v>
      </c>
      <c r="B41" s="44">
        <f>B36/B37</f>
        <v>0.76995497200520235</v>
      </c>
    </row>
    <row r="42" spans="1:12" x14ac:dyDescent="0.2">
      <c r="A42" s="34" t="s">
        <v>29</v>
      </c>
      <c r="B42" s="45">
        <f>SUM(B50:L50)</f>
        <v>2002</v>
      </c>
    </row>
    <row r="43" spans="1:12" x14ac:dyDescent="0.2">
      <c r="A43" s="34" t="s">
        <v>30</v>
      </c>
      <c r="B43" s="46">
        <f>MIN(B47:L47)</f>
        <v>-172277.90687759375</v>
      </c>
    </row>
    <row r="44" spans="1:12" ht="13.5" thickBot="1" x14ac:dyDescent="0.25">
      <c r="A44" s="37" t="s">
        <v>32</v>
      </c>
      <c r="B44" s="47">
        <f>B37/B17</f>
        <v>27.820192312342954</v>
      </c>
    </row>
    <row r="47" spans="1:12" x14ac:dyDescent="0.2">
      <c r="A47" s="2" t="s">
        <v>28</v>
      </c>
      <c r="B47" s="14">
        <f>B33</f>
        <v>-20782.760000000002</v>
      </c>
      <c r="C47" s="14">
        <f t="shared" ref="C47:L47" si="10">C33+B47</f>
        <v>-54293.87225</v>
      </c>
      <c r="D47" s="14">
        <f t="shared" si="10"/>
        <v>-96099.261837500002</v>
      </c>
      <c r="E47" s="14">
        <f t="shared" si="10"/>
        <v>-140283.870719375</v>
      </c>
      <c r="F47" s="14">
        <f t="shared" si="10"/>
        <v>-172277.90687759375</v>
      </c>
      <c r="G47" s="14">
        <f t="shared" si="10"/>
        <v>-157565.62851881093</v>
      </c>
      <c r="H47" s="14">
        <f t="shared" si="10"/>
        <v>-89007.143321030264</v>
      </c>
      <c r="I47" s="14">
        <f t="shared" si="10"/>
        <v>60648.01862758385</v>
      </c>
      <c r="J47" s="14">
        <f t="shared" si="10"/>
        <v>307579.03584279702</v>
      </c>
      <c r="K47" s="14">
        <f t="shared" si="10"/>
        <v>715015.21424789866</v>
      </c>
      <c r="L47" s="14">
        <f t="shared" si="10"/>
        <v>1387284.9086163163</v>
      </c>
    </row>
    <row r="48" spans="1:12" x14ac:dyDescent="0.2">
      <c r="A48" s="2" t="s">
        <v>40</v>
      </c>
      <c r="B48" s="3">
        <f>IF(B47&lt;0,0,B47)</f>
        <v>0</v>
      </c>
      <c r="C48" s="3">
        <f t="shared" ref="C48:L48" si="11">IF(C47&lt;0,0,C47)</f>
        <v>0</v>
      </c>
      <c r="D48" s="3">
        <f>IF(D47&lt;0,0,D47)</f>
        <v>0</v>
      </c>
      <c r="E48" s="3">
        <f t="shared" si="11"/>
        <v>0</v>
      </c>
      <c r="F48" s="3">
        <f t="shared" si="11"/>
        <v>0</v>
      </c>
      <c r="G48" s="3">
        <f t="shared" si="11"/>
        <v>0</v>
      </c>
      <c r="H48" s="3">
        <f t="shared" si="11"/>
        <v>0</v>
      </c>
      <c r="I48" s="3">
        <f>IF(I47&lt;0,0,I47)</f>
        <v>60648.01862758385</v>
      </c>
      <c r="J48" s="3">
        <f t="shared" si="11"/>
        <v>307579.03584279702</v>
      </c>
      <c r="K48" s="3">
        <f t="shared" si="11"/>
        <v>715015.21424789866</v>
      </c>
      <c r="L48" s="3">
        <f t="shared" si="11"/>
        <v>1387284.9086163163</v>
      </c>
    </row>
    <row r="49" spans="1:12" x14ac:dyDescent="0.2">
      <c r="A49" s="10" t="s">
        <v>41</v>
      </c>
      <c r="B49" s="3">
        <f>B48</f>
        <v>0</v>
      </c>
      <c r="C49" s="2">
        <f>IF(AND(B48=0,C48&lt;&gt;0),C48,0)</f>
        <v>0</v>
      </c>
      <c r="D49" s="2">
        <f t="shared" ref="D49:L49" si="12">IF(AND(C48=0,D48&lt;&gt;0),D48,0)</f>
        <v>0</v>
      </c>
      <c r="E49" s="2">
        <f t="shared" si="12"/>
        <v>0</v>
      </c>
      <c r="F49" s="2">
        <f t="shared" si="12"/>
        <v>0</v>
      </c>
      <c r="G49" s="2">
        <f t="shared" si="12"/>
        <v>0</v>
      </c>
      <c r="H49" s="2">
        <f t="shared" si="12"/>
        <v>0</v>
      </c>
      <c r="I49" s="3">
        <f>IF(AND(H48=0,I48&lt;&gt;0),I48,0)</f>
        <v>60648.01862758385</v>
      </c>
      <c r="J49" s="2">
        <f t="shared" si="12"/>
        <v>0</v>
      </c>
      <c r="K49" s="2">
        <f t="shared" si="12"/>
        <v>0</v>
      </c>
      <c r="L49" s="2">
        <f t="shared" si="12"/>
        <v>0</v>
      </c>
    </row>
    <row r="50" spans="1:12" x14ac:dyDescent="0.2">
      <c r="A50" s="10" t="s">
        <v>42</v>
      </c>
      <c r="B50" s="2">
        <f>IF(B49&gt;0,1995,0)</f>
        <v>0</v>
      </c>
      <c r="C50" s="2">
        <f t="shared" ref="C50:L50" si="13">IF(C49&gt;0,C3,0)</f>
        <v>0</v>
      </c>
      <c r="D50" s="2">
        <f t="shared" si="13"/>
        <v>0</v>
      </c>
      <c r="E50" s="2">
        <f t="shared" si="13"/>
        <v>0</v>
      </c>
      <c r="F50" s="2">
        <f t="shared" si="13"/>
        <v>0</v>
      </c>
      <c r="G50" s="2">
        <f t="shared" si="13"/>
        <v>0</v>
      </c>
      <c r="H50" s="2">
        <f t="shared" si="13"/>
        <v>0</v>
      </c>
      <c r="I50" s="2">
        <f t="shared" si="13"/>
        <v>2002</v>
      </c>
      <c r="J50" s="2">
        <f t="shared" si="13"/>
        <v>0</v>
      </c>
      <c r="K50" s="2">
        <f t="shared" si="13"/>
        <v>0</v>
      </c>
      <c r="L50" s="2">
        <f t="shared" si="13"/>
        <v>0</v>
      </c>
    </row>
    <row r="65534" spans="255:255" x14ac:dyDescent="0.2">
      <c r="IU65534" s="2">
        <v>0</v>
      </c>
    </row>
  </sheetData>
  <phoneticPr fontId="0"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28"/>
  <sheetViews>
    <sheetView workbookViewId="0"/>
  </sheetViews>
  <sheetFormatPr defaultRowHeight="12.75" x14ac:dyDescent="0.2"/>
  <cols>
    <col min="1" max="2" width="36.7109375" customWidth="1"/>
  </cols>
  <sheetData>
    <row r="1" spans="1:3" x14ac:dyDescent="0.2">
      <c r="A1" s="1" t="s">
        <v>44</v>
      </c>
    </row>
    <row r="3" spans="1:3" x14ac:dyDescent="0.2">
      <c r="A3" t="s">
        <v>45</v>
      </c>
      <c r="B3" t="s">
        <v>46</v>
      </c>
      <c r="C3">
        <v>0</v>
      </c>
    </row>
    <row r="4" spans="1:3" x14ac:dyDescent="0.2">
      <c r="A4" t="s">
        <v>47</v>
      </c>
    </row>
    <row r="5" spans="1:3" x14ac:dyDescent="0.2">
      <c r="A5" t="s">
        <v>48</v>
      </c>
    </row>
    <row r="7" spans="1:3" x14ac:dyDescent="0.2">
      <c r="A7" s="1" t="s">
        <v>49</v>
      </c>
      <c r="B7" t="s">
        <v>50</v>
      </c>
    </row>
    <row r="8" spans="1:3" x14ac:dyDescent="0.2">
      <c r="B8">
        <v>1</v>
      </c>
    </row>
    <row r="10" spans="1:3" x14ac:dyDescent="0.2">
      <c r="A10" t="s">
        <v>51</v>
      </c>
    </row>
    <row r="11" spans="1:3" x14ac:dyDescent="0.2">
      <c r="A11" t="e">
        <f>CB_DATA_!#REF!</f>
        <v>#REF!</v>
      </c>
    </row>
    <row r="13" spans="1:3" x14ac:dyDescent="0.2">
      <c r="A13" t="s">
        <v>52</v>
      </c>
    </row>
    <row r="14" spans="1:3" x14ac:dyDescent="0.2">
      <c r="A14" t="s">
        <v>56</v>
      </c>
    </row>
    <row r="16" spans="1:3" x14ac:dyDescent="0.2">
      <c r="A16" t="s">
        <v>53</v>
      </c>
    </row>
    <row r="19" spans="1:1" x14ac:dyDescent="0.2">
      <c r="A19" t="s">
        <v>54</v>
      </c>
    </row>
    <row r="20" spans="1:1" x14ac:dyDescent="0.2">
      <c r="A20">
        <v>28</v>
      </c>
    </row>
    <row r="25" spans="1:1" x14ac:dyDescent="0.2">
      <c r="A25" s="1" t="s">
        <v>55</v>
      </c>
    </row>
    <row r="26" spans="1:1" x14ac:dyDescent="0.2">
      <c r="A26" s="58" t="s">
        <v>57</v>
      </c>
    </row>
    <row r="27" spans="1:1" x14ac:dyDescent="0.2">
      <c r="A27" t="s">
        <v>58</v>
      </c>
    </row>
    <row r="28" spans="1:1" x14ac:dyDescent="0.2">
      <c r="A28" s="58" t="s">
        <v>59</v>
      </c>
    </row>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L16"/>
  <sheetViews>
    <sheetView zoomScale="90" zoomScaleNormal="90" workbookViewId="0">
      <selection activeCell="A2" sqref="A2"/>
    </sheetView>
  </sheetViews>
  <sheetFormatPr defaultRowHeight="12.75" x14ac:dyDescent="0.2"/>
  <cols>
    <col min="1" max="1" width="17.28515625" customWidth="1"/>
    <col min="2" max="12" width="10" customWidth="1"/>
  </cols>
  <sheetData>
    <row r="1" spans="1:12" x14ac:dyDescent="0.2">
      <c r="A1" s="61" t="s">
        <v>62</v>
      </c>
      <c r="B1" s="61"/>
      <c r="C1" s="61"/>
      <c r="D1" s="61"/>
      <c r="E1" s="61"/>
    </row>
    <row r="4" spans="1:12" ht="13.5" thickBot="1" x14ac:dyDescent="0.25">
      <c r="A4" s="59" t="s">
        <v>60</v>
      </c>
      <c r="B4" s="62" t="s">
        <v>61</v>
      </c>
      <c r="C4" s="62"/>
      <c r="D4" s="62"/>
      <c r="E4" s="62"/>
      <c r="F4" s="62"/>
      <c r="G4" s="62"/>
      <c r="H4" s="62"/>
      <c r="I4" s="62"/>
      <c r="J4" s="62"/>
      <c r="K4" s="62"/>
      <c r="L4" s="62"/>
    </row>
    <row r="5" spans="1:12" ht="13.5" thickBot="1" x14ac:dyDescent="0.25">
      <c r="A5" s="50"/>
      <c r="B5" s="53">
        <v>0.05</v>
      </c>
      <c r="C5" s="53">
        <v>5.5E-2</v>
      </c>
      <c r="D5" s="53">
        <v>0.06</v>
      </c>
      <c r="E5" s="53">
        <v>6.5000000000000002E-2</v>
      </c>
      <c r="F5" s="53">
        <v>7.0000000000000007E-2</v>
      </c>
      <c r="G5" s="53">
        <v>7.5000000000000011E-2</v>
      </c>
      <c r="H5" s="53">
        <v>8.0000000000000016E-2</v>
      </c>
      <c r="I5" s="53">
        <v>8.500000000000002E-2</v>
      </c>
      <c r="J5" s="53">
        <v>9.0000000000000024E-2</v>
      </c>
      <c r="K5" s="53">
        <v>9.5000000000000029E-2</v>
      </c>
      <c r="L5" s="53">
        <v>0.10000000000000003</v>
      </c>
    </row>
    <row r="6" spans="1:12" x14ac:dyDescent="0.2">
      <c r="A6" s="51">
        <v>0</v>
      </c>
      <c r="B6" s="63">
        <v>1096993.385880043</v>
      </c>
      <c r="C6" s="63">
        <v>969611.22360583988</v>
      </c>
      <c r="D6" s="63">
        <v>859582.40929750504</v>
      </c>
      <c r="E6" s="63">
        <v>764133.18281192798</v>
      </c>
      <c r="F6" s="63">
        <v>681006.6270577492</v>
      </c>
      <c r="G6" s="63">
        <v>608351.80208659265</v>
      </c>
      <c r="H6" s="63">
        <v>544639.82126176252</v>
      </c>
      <c r="I6" s="63">
        <v>488599.57337746664</v>
      </c>
      <c r="J6" s="63">
        <v>439167.96358624246</v>
      </c>
      <c r="K6" s="63">
        <v>395451.01615445106</v>
      </c>
      <c r="L6" s="63">
        <v>356693.19485947303</v>
      </c>
    </row>
    <row r="7" spans="1:12" x14ac:dyDescent="0.2">
      <c r="A7" s="51">
        <v>0.01</v>
      </c>
      <c r="B7" s="63">
        <v>1191836.3946622985</v>
      </c>
      <c r="C7" s="63">
        <v>1049458.2911314326</v>
      </c>
      <c r="D7" s="63">
        <v>927197.82777460525</v>
      </c>
      <c r="E7" s="63">
        <v>821695.2465055096</v>
      </c>
      <c r="F7" s="63">
        <v>730248.32154105499</v>
      </c>
      <c r="G7" s="63">
        <v>650663.81775530404</v>
      </c>
      <c r="H7" s="63">
        <v>581146.98850173084</v>
      </c>
      <c r="I7" s="63">
        <v>520218.26516277116</v>
      </c>
      <c r="J7" s="63">
        <v>466649.68191143882</v>
      </c>
      <c r="K7" s="63">
        <v>419415.82322561467</v>
      </c>
      <c r="L7" s="63">
        <v>377655.5940609923</v>
      </c>
    </row>
    <row r="8" spans="1:12" x14ac:dyDescent="0.2">
      <c r="A8" s="51">
        <v>0.02</v>
      </c>
      <c r="B8" s="63">
        <v>1302214.7038183881</v>
      </c>
      <c r="C8" s="63">
        <v>1141627.4369788759</v>
      </c>
      <c r="D8" s="63">
        <v>1004676.9105080293</v>
      </c>
      <c r="E8" s="63">
        <v>887218.86810968327</v>
      </c>
      <c r="F8" s="63">
        <v>785964.92654156091</v>
      </c>
      <c r="G8" s="63">
        <v>698278.09102661081</v>
      </c>
      <c r="H8" s="63">
        <v>622023.6551121322</v>
      </c>
      <c r="I8" s="63">
        <v>555458.80022245203</v>
      </c>
      <c r="J8" s="63">
        <v>497149.71087092359</v>
      </c>
      <c r="K8" s="63">
        <v>445908.56353213295</v>
      </c>
      <c r="L8" s="63">
        <v>400745.07588062622</v>
      </c>
    </row>
    <row r="9" spans="1:12" x14ac:dyDescent="0.2">
      <c r="A9" s="51">
        <v>0.03</v>
      </c>
      <c r="B9" s="63">
        <v>1432285.8424403274</v>
      </c>
      <c r="C9" s="63">
        <v>1249209.4834697044</v>
      </c>
      <c r="D9" s="63">
        <v>1094347.8237266499</v>
      </c>
      <c r="E9" s="63">
        <v>962478.54047227814</v>
      </c>
      <c r="F9" s="63">
        <v>849523.41824164521</v>
      </c>
      <c r="G9" s="63">
        <v>752257.90885290515</v>
      </c>
      <c r="H9" s="63">
        <v>668104.22581042675</v>
      </c>
      <c r="I9" s="63">
        <v>594981.29579971242</v>
      </c>
      <c r="J9" s="63">
        <v>531194.19409647293</v>
      </c>
      <c r="K9" s="63">
        <v>475351.49763670453</v>
      </c>
      <c r="L9" s="63">
        <v>426302.70113367896</v>
      </c>
    </row>
    <row r="10" spans="1:12" x14ac:dyDescent="0.2">
      <c r="A10" s="51">
        <v>0.04</v>
      </c>
      <c r="B10" s="63">
        <v>1587836.1463163202</v>
      </c>
      <c r="C10" s="63">
        <v>1376423.2902690785</v>
      </c>
      <c r="D10" s="63">
        <v>1199334.0082037882</v>
      </c>
      <c r="E10" s="63">
        <v>1049818.4170664293</v>
      </c>
      <c r="F10" s="63">
        <v>922704.69445347611</v>
      </c>
      <c r="G10" s="64">
        <v>813971.22493511566</v>
      </c>
      <c r="H10" s="63">
        <v>720449.99986674916</v>
      </c>
      <c r="I10" s="63">
        <v>639616.66273237532</v>
      </c>
      <c r="J10" s="63">
        <v>569439.10708458233</v>
      </c>
      <c r="K10" s="63">
        <v>508266.47585738136</v>
      </c>
      <c r="L10" s="63">
        <v>454746.56300480664</v>
      </c>
    </row>
    <row r="11" spans="1:12" x14ac:dyDescent="0.2">
      <c r="A11" s="51">
        <v>0.05</v>
      </c>
      <c r="B11" s="63">
        <v>1777165.0178092488</v>
      </c>
      <c r="C11" s="63">
        <v>1529182.0381928245</v>
      </c>
      <c r="D11" s="63">
        <v>1323925.4558886085</v>
      </c>
      <c r="E11" s="63">
        <v>1152400.855020816</v>
      </c>
      <c r="F11" s="63">
        <v>1007873.0756959094</v>
      </c>
      <c r="G11" s="63">
        <v>885208.20090655587</v>
      </c>
      <c r="H11" s="63">
        <v>780431.91893493466</v>
      </c>
      <c r="I11" s="63">
        <v>690425.66271243268</v>
      </c>
      <c r="J11" s="63">
        <v>612712.93696790654</v>
      </c>
      <c r="K11" s="63">
        <v>545306.13806561159</v>
      </c>
      <c r="L11" s="63">
        <v>486594.83682939061</v>
      </c>
    </row>
    <row r="12" spans="1:12" x14ac:dyDescent="0.2">
      <c r="A12" s="51">
        <v>6.0000000000000005E-2</v>
      </c>
      <c r="B12" s="63">
        <v>2012615.4170714661</v>
      </c>
      <c r="C12" s="63">
        <v>1716038.7209209783</v>
      </c>
      <c r="D12" s="63">
        <v>1474179.4056712291</v>
      </c>
      <c r="E12" s="63">
        <v>1274597.5258536707</v>
      </c>
      <c r="F12" s="63">
        <v>1108236.529416922</v>
      </c>
      <c r="G12" s="63">
        <v>968357.71466586262</v>
      </c>
      <c r="H12" s="63">
        <v>849852.37758898758</v>
      </c>
      <c r="I12" s="63">
        <v>748784.29121850163</v>
      </c>
      <c r="J12" s="63">
        <v>662077.38330208568</v>
      </c>
      <c r="K12" s="63">
        <v>587297.62677226833</v>
      </c>
      <c r="L12" s="63">
        <v>522497.63310140726</v>
      </c>
    </row>
    <row r="13" spans="1:12" x14ac:dyDescent="0.2">
      <c r="A13" s="51">
        <v>7.0000000000000007E-2</v>
      </c>
      <c r="B13" s="63">
        <v>2313377.9936602348</v>
      </c>
      <c r="C13" s="63">
        <v>1949844.3189074623</v>
      </c>
      <c r="D13" s="63">
        <v>1658934.836460192</v>
      </c>
      <c r="E13" s="63">
        <v>1422628.5879831119</v>
      </c>
      <c r="F13" s="63">
        <v>1228259.8173634021</v>
      </c>
      <c r="G13" s="63">
        <v>1066680.4973593494</v>
      </c>
      <c r="H13" s="63">
        <v>931129.44745637139</v>
      </c>
      <c r="I13" s="63">
        <v>816510.27582506323</v>
      </c>
      <c r="J13" s="63">
        <v>718915.62923265842</v>
      </c>
      <c r="K13" s="63">
        <v>635305.08807300183</v>
      </c>
      <c r="L13" s="63">
        <v>563281.84287063906</v>
      </c>
    </row>
    <row r="14" spans="1:12" x14ac:dyDescent="0.2">
      <c r="A14" s="51">
        <v>0.08</v>
      </c>
      <c r="B14" s="63">
        <v>2711004.5240618107</v>
      </c>
      <c r="C14" s="63">
        <v>2250835.4335567285</v>
      </c>
      <c r="D14" s="63">
        <v>1891616.4490361747</v>
      </c>
      <c r="E14" s="63">
        <v>1605655.1730745956</v>
      </c>
      <c r="F14" s="63">
        <v>1374346.7943319187</v>
      </c>
      <c r="G14" s="63">
        <v>1184746.8107141787</v>
      </c>
      <c r="H14" s="63">
        <v>1027584.3081486634</v>
      </c>
      <c r="I14" s="63">
        <v>896055.80399297923</v>
      </c>
      <c r="J14" s="63">
        <v>785063.98915677285</v>
      </c>
      <c r="K14" s="63">
        <v>690721.10821644135</v>
      </c>
      <c r="L14" s="63">
        <v>610015.60913428827</v>
      </c>
    </row>
    <row r="15" spans="1:12" x14ac:dyDescent="0.2">
      <c r="A15" s="51">
        <v>0.09</v>
      </c>
      <c r="B15" s="63">
        <v>3261270.7974198465</v>
      </c>
      <c r="C15" s="63">
        <v>2652830.2779540718</v>
      </c>
      <c r="D15" s="63">
        <v>2193651.7464336138</v>
      </c>
      <c r="E15" s="63">
        <v>1837750.5477348424</v>
      </c>
      <c r="F15" s="63">
        <v>1556021.3418165178</v>
      </c>
      <c r="G15" s="63">
        <v>1329167.2118714256</v>
      </c>
      <c r="H15" s="63">
        <v>1143906.2874181527</v>
      </c>
      <c r="I15" s="63">
        <v>990810.80217388133</v>
      </c>
      <c r="J15" s="63">
        <v>863014.01900490443</v>
      </c>
      <c r="K15" s="63">
        <v>755404.0213604559</v>
      </c>
      <c r="L15" s="63">
        <v>664103.23318922776</v>
      </c>
    </row>
    <row r="16" spans="1:12" ht="13.5" thickBot="1" x14ac:dyDescent="0.25">
      <c r="A16" s="52">
        <v>9.9999999999999992E-2</v>
      </c>
      <c r="B16" s="65">
        <v>4072946.2267674473</v>
      </c>
      <c r="C16" s="65">
        <v>3216919.8176729237</v>
      </c>
      <c r="D16" s="65">
        <v>2601478.7416935526</v>
      </c>
      <c r="E16" s="65">
        <v>2141702.0755406758</v>
      </c>
      <c r="F16" s="65">
        <v>1788091.0481040566</v>
      </c>
      <c r="G16" s="65">
        <v>1509874.1459827542</v>
      </c>
      <c r="H16" s="65">
        <v>1286938.250446422</v>
      </c>
      <c r="I16" s="65">
        <v>1105598.5695262211</v>
      </c>
      <c r="J16" s="65">
        <v>956233.39848048543</v>
      </c>
      <c r="K16" s="65">
        <v>831890.38580812281</v>
      </c>
      <c r="L16" s="65">
        <v>727428.70934577915</v>
      </c>
    </row>
  </sheetData>
  <mergeCells count="2">
    <mergeCell ref="A1:E1"/>
    <mergeCell ref="B4:L4"/>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O50"/>
  <sheetViews>
    <sheetView tabSelected="1" zoomScale="70" zoomScaleNormal="70" workbookViewId="0">
      <selection activeCell="A2" sqref="A2"/>
    </sheetView>
  </sheetViews>
  <sheetFormatPr defaultColWidth="9.140625" defaultRowHeight="12.75" x14ac:dyDescent="0.2"/>
  <cols>
    <col min="1" max="1" width="26.28515625" style="2" customWidth="1"/>
    <col min="2" max="2" width="13.7109375" style="2" customWidth="1"/>
    <col min="3" max="12" width="12.140625" style="2" customWidth="1"/>
    <col min="13" max="13" width="12.42578125" style="2" customWidth="1"/>
    <col min="14" max="14" width="13.7109375" style="2" customWidth="1"/>
    <col min="15" max="15" width="11" style="2" customWidth="1"/>
    <col min="16" max="16384" width="9.140625" style="2"/>
  </cols>
  <sheetData>
    <row r="1" spans="1:15" x14ac:dyDescent="0.2">
      <c r="A1" s="1" t="s">
        <v>43</v>
      </c>
    </row>
    <row r="2" spans="1:15" x14ac:dyDescent="0.2">
      <c r="A2" s="5"/>
      <c r="B2" s="6"/>
      <c r="C2" s="6"/>
      <c r="D2" s="6"/>
    </row>
    <row r="3" spans="1:15" ht="13.5" thickBot="1" x14ac:dyDescent="0.25">
      <c r="A3" s="1" t="s">
        <v>0</v>
      </c>
      <c r="B3" s="6"/>
      <c r="C3" s="7">
        <v>1996</v>
      </c>
      <c r="D3" s="4">
        <v>1997</v>
      </c>
      <c r="E3" s="7">
        <v>1998</v>
      </c>
      <c r="F3" s="4">
        <v>1999</v>
      </c>
      <c r="G3" s="7">
        <v>2000</v>
      </c>
      <c r="H3" s="4">
        <v>2001</v>
      </c>
      <c r="I3" s="7">
        <v>2002</v>
      </c>
      <c r="J3" s="4">
        <v>2003</v>
      </c>
      <c r="K3" s="7">
        <v>2004</v>
      </c>
      <c r="L3" s="4">
        <v>2005</v>
      </c>
    </row>
    <row r="4" spans="1:15" x14ac:dyDescent="0.2">
      <c r="A4" s="17" t="s">
        <v>1</v>
      </c>
      <c r="B4" s="18">
        <f ca="1">_xll.PsiNormal(0.65,0.05)</f>
        <v>0.68953098682577518</v>
      </c>
      <c r="C4" s="19"/>
      <c r="D4" s="20"/>
      <c r="E4" s="19"/>
      <c r="F4" s="19"/>
      <c r="G4" s="19"/>
      <c r="H4" s="19"/>
      <c r="I4" s="19"/>
      <c r="J4" s="19"/>
      <c r="K4" s="19"/>
      <c r="L4" s="21"/>
      <c r="O4" s="48"/>
    </row>
    <row r="5" spans="1:15" x14ac:dyDescent="0.2">
      <c r="A5" s="22" t="s">
        <v>2</v>
      </c>
      <c r="B5" s="8">
        <v>0.01</v>
      </c>
      <c r="C5" s="9"/>
      <c r="D5" s="10"/>
      <c r="E5" s="9"/>
      <c r="F5" s="9"/>
      <c r="G5" s="9"/>
      <c r="H5" s="9"/>
      <c r="I5" s="9"/>
      <c r="J5" s="9"/>
      <c r="K5" s="9"/>
      <c r="L5" s="23"/>
      <c r="O5" s="48"/>
    </row>
    <row r="6" spans="1:15" x14ac:dyDescent="0.2">
      <c r="A6" s="22" t="s">
        <v>18</v>
      </c>
      <c r="B6" s="8">
        <v>0.104</v>
      </c>
      <c r="C6" s="9"/>
      <c r="D6" s="10"/>
      <c r="E6" s="9"/>
      <c r="F6" s="9"/>
      <c r="G6" s="9"/>
      <c r="H6" s="9"/>
      <c r="I6" s="9"/>
      <c r="J6" s="9"/>
      <c r="K6" s="9"/>
      <c r="L6" s="23"/>
      <c r="O6" s="48"/>
    </row>
    <row r="7" spans="1:15" x14ac:dyDescent="0.2">
      <c r="A7" s="22" t="s">
        <v>25</v>
      </c>
      <c r="B7" s="8">
        <f ca="1">_xll.PsiTriangular(0.32,0.37,0.42)</f>
        <v>0.36779610337061241</v>
      </c>
      <c r="C7" s="9"/>
      <c r="D7" s="10"/>
      <c r="E7" s="9"/>
      <c r="F7" s="9"/>
      <c r="G7" s="9"/>
      <c r="H7" s="9"/>
      <c r="I7" s="9"/>
      <c r="J7" s="9"/>
      <c r="K7" s="9"/>
      <c r="L7" s="23"/>
      <c r="O7" s="48"/>
    </row>
    <row r="8" spans="1:15" x14ac:dyDescent="0.2">
      <c r="A8" s="22" t="s">
        <v>21</v>
      </c>
      <c r="B8" s="8">
        <v>0.34</v>
      </c>
      <c r="C8" s="9"/>
      <c r="D8" s="10"/>
      <c r="E8" s="9"/>
      <c r="F8" s="9"/>
      <c r="G8" s="9"/>
      <c r="H8" s="9"/>
      <c r="I8" s="9"/>
      <c r="J8" s="9"/>
      <c r="K8" s="9"/>
      <c r="L8" s="23"/>
      <c r="O8" s="48"/>
    </row>
    <row r="9" spans="1:15" x14ac:dyDescent="0.2">
      <c r="A9" s="22" t="s">
        <v>3</v>
      </c>
      <c r="B9" s="10"/>
      <c r="C9" s="11">
        <v>0.8</v>
      </c>
      <c r="D9" s="12">
        <v>0.65</v>
      </c>
      <c r="E9" s="13">
        <v>0.55000000000000004</v>
      </c>
      <c r="F9" s="12">
        <v>0.45</v>
      </c>
      <c r="G9" s="12">
        <v>0.35</v>
      </c>
      <c r="H9" s="12">
        <v>0.25</v>
      </c>
      <c r="I9" s="12">
        <v>0.2</v>
      </c>
      <c r="J9" s="12">
        <v>0.2</v>
      </c>
      <c r="K9" s="12">
        <v>0.2</v>
      </c>
      <c r="L9" s="24">
        <v>0.2</v>
      </c>
    </row>
    <row r="10" spans="1:15" x14ac:dyDescent="0.2">
      <c r="A10" s="22" t="s">
        <v>4</v>
      </c>
      <c r="B10" s="10"/>
      <c r="C10" s="11">
        <v>0.45</v>
      </c>
      <c r="D10" s="12">
        <v>0.4</v>
      </c>
      <c r="E10" s="13">
        <v>0.3</v>
      </c>
      <c r="F10" s="12">
        <v>0.2</v>
      </c>
      <c r="G10" s="12">
        <v>0.1</v>
      </c>
      <c r="H10" s="12">
        <v>0.1</v>
      </c>
      <c r="I10" s="12">
        <v>0.1</v>
      </c>
      <c r="J10" s="12">
        <v>0.1</v>
      </c>
      <c r="K10" s="12">
        <v>0.1</v>
      </c>
      <c r="L10" s="24">
        <v>0.1</v>
      </c>
    </row>
    <row r="11" spans="1:15" x14ac:dyDescent="0.2">
      <c r="A11" s="22" t="s">
        <v>19</v>
      </c>
      <c r="B11" s="8">
        <v>5.5E-2</v>
      </c>
      <c r="C11" s="9"/>
      <c r="D11" s="10"/>
      <c r="E11" s="9"/>
      <c r="F11" s="9" t="s">
        <v>17</v>
      </c>
      <c r="G11" s="9"/>
      <c r="H11" s="9"/>
      <c r="I11" s="9"/>
      <c r="J11" s="9"/>
      <c r="K11" s="9"/>
      <c r="L11" s="23"/>
    </row>
    <row r="12" spans="1:15" x14ac:dyDescent="0.2">
      <c r="A12" s="22" t="s">
        <v>6</v>
      </c>
      <c r="B12" s="8">
        <v>0</v>
      </c>
      <c r="C12" s="9"/>
      <c r="D12" s="10"/>
      <c r="E12" s="9"/>
      <c r="F12" s="9"/>
      <c r="G12" s="9"/>
      <c r="H12" s="9"/>
      <c r="I12" s="9"/>
      <c r="J12" s="9"/>
      <c r="K12" s="9"/>
      <c r="L12" s="23"/>
    </row>
    <row r="13" spans="1:15" x14ac:dyDescent="0.2">
      <c r="A13" s="22" t="s">
        <v>7</v>
      </c>
      <c r="B13" s="12">
        <v>1.5</v>
      </c>
      <c r="C13" s="9"/>
      <c r="D13" s="10"/>
      <c r="E13" s="9"/>
      <c r="F13" s="9"/>
      <c r="G13" s="9"/>
      <c r="H13" s="9"/>
      <c r="I13" s="9"/>
      <c r="J13" s="9"/>
      <c r="K13" s="9"/>
      <c r="L13" s="23"/>
    </row>
    <row r="14" spans="1:15" x14ac:dyDescent="0.2">
      <c r="A14" s="22" t="s">
        <v>8</v>
      </c>
      <c r="B14" s="8">
        <v>6.7100000000000007E-2</v>
      </c>
      <c r="C14" s="9"/>
      <c r="D14" s="10"/>
      <c r="E14" s="9"/>
      <c r="F14" s="9"/>
      <c r="G14" s="9"/>
      <c r="H14" s="9"/>
      <c r="I14" s="9"/>
      <c r="J14" s="9"/>
      <c r="K14" s="9"/>
      <c r="L14" s="23"/>
    </row>
    <row r="15" spans="1:15" x14ac:dyDescent="0.2">
      <c r="A15" s="22" t="s">
        <v>22</v>
      </c>
      <c r="B15" s="8">
        <f ca="1">_xll.PsiUniform(0.05,0.1)</f>
        <v>7.0310969831115039E-2</v>
      </c>
      <c r="C15" s="9"/>
      <c r="D15" s="10"/>
      <c r="E15" s="9"/>
      <c r="F15" s="9"/>
      <c r="G15" s="9"/>
      <c r="H15" s="9"/>
      <c r="I15" s="9"/>
      <c r="J15" s="9"/>
      <c r="K15" s="9"/>
      <c r="L15" s="23"/>
    </row>
    <row r="16" spans="1:15" x14ac:dyDescent="0.2">
      <c r="A16" s="22" t="s">
        <v>36</v>
      </c>
      <c r="B16" s="8">
        <f ca="1">B14+(B13*B15)</f>
        <v>0.17256645474667257</v>
      </c>
      <c r="C16" s="9"/>
      <c r="D16" s="10"/>
      <c r="E16" s="9"/>
      <c r="F16" s="9"/>
      <c r="G16" s="9"/>
      <c r="H16" s="9"/>
      <c r="I16" s="9"/>
      <c r="J16" s="9"/>
      <c r="K16" s="9"/>
      <c r="L16" s="23"/>
    </row>
    <row r="17" spans="1:12" ht="13.5" thickBot="1" x14ac:dyDescent="0.25">
      <c r="A17" s="25" t="s">
        <v>38</v>
      </c>
      <c r="B17" s="26">
        <v>38000</v>
      </c>
      <c r="C17" s="27"/>
      <c r="D17" s="28"/>
      <c r="E17" s="27"/>
      <c r="F17" s="27"/>
      <c r="G17" s="27"/>
      <c r="H17" s="27"/>
      <c r="I17" s="27"/>
      <c r="J17" s="27"/>
      <c r="K17" s="27"/>
      <c r="L17" s="29"/>
    </row>
    <row r="18" spans="1:12" x14ac:dyDescent="0.2">
      <c r="A18" s="10"/>
      <c r="B18" s="8"/>
      <c r="C18" s="9"/>
      <c r="D18" s="10"/>
      <c r="E18" s="9"/>
      <c r="F18" s="9"/>
      <c r="G18" s="9"/>
      <c r="H18" s="9"/>
      <c r="I18" s="9"/>
      <c r="J18" s="9"/>
      <c r="K18" s="9"/>
      <c r="L18" s="9"/>
    </row>
    <row r="19" spans="1:12" ht="13.5" thickBot="1" x14ac:dyDescent="0.25">
      <c r="A19" s="1" t="s">
        <v>31</v>
      </c>
      <c r="C19" s="1" t="s">
        <v>17</v>
      </c>
      <c r="D19" s="1"/>
      <c r="E19" s="1"/>
      <c r="F19" s="1"/>
      <c r="G19" s="1"/>
      <c r="H19" s="1"/>
      <c r="I19" s="1"/>
      <c r="J19" s="1"/>
      <c r="K19" s="1"/>
      <c r="L19" s="1"/>
    </row>
    <row r="20" spans="1:12" x14ac:dyDescent="0.2">
      <c r="A20" s="30"/>
      <c r="B20" s="31" t="s">
        <v>16</v>
      </c>
      <c r="C20" s="32" t="s">
        <v>20</v>
      </c>
      <c r="D20" s="32"/>
      <c r="E20" s="32"/>
      <c r="F20" s="32"/>
      <c r="G20" s="32"/>
      <c r="H20" s="32"/>
      <c r="I20" s="32"/>
      <c r="J20" s="32"/>
      <c r="K20" s="32"/>
      <c r="L20" s="33"/>
    </row>
    <row r="21" spans="1:12" x14ac:dyDescent="0.2">
      <c r="A21" s="34" t="s">
        <v>9</v>
      </c>
      <c r="B21" s="15">
        <v>33250</v>
      </c>
      <c r="C21" s="16">
        <f ca="1">B21*(1+$B$4)</f>
        <v>56176.905311957031</v>
      </c>
      <c r="D21" s="16">
        <f t="shared" ref="D21:L21" ca="1" si="0">C21*(1+$B$4)</f>
        <v>94912.622268528896</v>
      </c>
      <c r="E21" s="16">
        <f t="shared" ca="1" si="0"/>
        <v>160357.81636356967</v>
      </c>
      <c r="F21" s="16">
        <f t="shared" ca="1" si="0"/>
        <v>270929.49972596834</v>
      </c>
      <c r="G21" s="16">
        <f t="shared" ca="1" si="0"/>
        <v>457743.78503222892</v>
      </c>
      <c r="H21" s="16">
        <f t="shared" ca="1" si="0"/>
        <v>773372.30883886723</v>
      </c>
      <c r="I21" s="16">
        <f t="shared" ca="1" si="0"/>
        <v>1306636.4801362597</v>
      </c>
      <c r="J21" s="16">
        <f t="shared" ca="1" si="0"/>
        <v>2207602.8217071723</v>
      </c>
      <c r="K21" s="16">
        <f t="shared" ca="1" si="0"/>
        <v>3729813.3738782848</v>
      </c>
      <c r="L21" s="35">
        <f t="shared" ca="1" si="0"/>
        <v>6301635.2702445528</v>
      </c>
    </row>
    <row r="22" spans="1:12" x14ac:dyDescent="0.2">
      <c r="A22" s="34" t="s">
        <v>10</v>
      </c>
      <c r="B22" s="15">
        <v>3472</v>
      </c>
      <c r="C22" s="16">
        <f ca="1">C21*$B$6</f>
        <v>5842.3981524435312</v>
      </c>
      <c r="D22" s="16">
        <f t="shared" ref="D22:L22" ca="1" si="1">D21*$B$6</f>
        <v>9870.9127159270047</v>
      </c>
      <c r="E22" s="16">
        <f t="shared" ca="1" si="1"/>
        <v>16677.212901811246</v>
      </c>
      <c r="F22" s="16">
        <f t="shared" ca="1" si="1"/>
        <v>28176.667971500705</v>
      </c>
      <c r="G22" s="16">
        <f t="shared" ca="1" si="1"/>
        <v>47605.353643351802</v>
      </c>
      <c r="H22" s="16">
        <f t="shared" ca="1" si="1"/>
        <v>80430.720119242193</v>
      </c>
      <c r="I22" s="16">
        <f t="shared" ca="1" si="1"/>
        <v>135890.19393417099</v>
      </c>
      <c r="J22" s="16">
        <f t="shared" ca="1" si="1"/>
        <v>229590.69345754592</v>
      </c>
      <c r="K22" s="16">
        <f t="shared" ca="1" si="1"/>
        <v>387900.59088334162</v>
      </c>
      <c r="L22" s="35">
        <f t="shared" ca="1" si="1"/>
        <v>655370.06810543349</v>
      </c>
    </row>
    <row r="23" spans="1:12" x14ac:dyDescent="0.2">
      <c r="A23" s="34" t="s">
        <v>11</v>
      </c>
      <c r="B23" s="15">
        <v>12230</v>
      </c>
      <c r="C23" s="16">
        <f ca="1">C21*$B$7</f>
        <v>20661.646873157653</v>
      </c>
      <c r="D23" s="16">
        <f t="shared" ref="D23:L23" ca="1" si="2">D21*$B$7</f>
        <v>34908.49263105174</v>
      </c>
      <c r="E23" s="16">
        <f t="shared" ca="1" si="2"/>
        <v>58978.980003541154</v>
      </c>
      <c r="F23" s="16">
        <f t="shared" ca="1" si="2"/>
        <v>99646.814287360554</v>
      </c>
      <c r="G23" s="16">
        <f t="shared" ca="1" si="2"/>
        <v>168356.38047696906</v>
      </c>
      <c r="H23" s="16">
        <f t="shared" ca="1" si="2"/>
        <v>284443.32164566917</v>
      </c>
      <c r="I23" s="16">
        <f t="shared" ca="1" si="2"/>
        <v>480575.80591600895</v>
      </c>
      <c r="J23" s="16">
        <f t="shared" ca="1" si="2"/>
        <v>811947.71561386681</v>
      </c>
      <c r="K23" s="16">
        <f t="shared" ca="1" si="2"/>
        <v>1371810.8252120302</v>
      </c>
      <c r="L23" s="35">
        <f t="shared" ca="1" si="2"/>
        <v>2317716.8972587627</v>
      </c>
    </row>
    <row r="24" spans="1:12" x14ac:dyDescent="0.2">
      <c r="A24" s="34" t="s">
        <v>5</v>
      </c>
      <c r="B24" s="15">
        <v>1836</v>
      </c>
      <c r="C24" s="16">
        <f ca="1">C21*$B$11</f>
        <v>3089.7297921576369</v>
      </c>
      <c r="D24" s="16">
        <f t="shared" ref="D24:L24" ca="1" si="3">D21*$B$11</f>
        <v>5220.1942247690895</v>
      </c>
      <c r="E24" s="16">
        <f t="shared" ca="1" si="3"/>
        <v>8819.6798999963321</v>
      </c>
      <c r="F24" s="16">
        <f t="shared" ca="1" si="3"/>
        <v>14901.122484928259</v>
      </c>
      <c r="G24" s="16">
        <f t="shared" ca="1" si="3"/>
        <v>25175.908176772591</v>
      </c>
      <c r="H24" s="16">
        <f t="shared" ca="1" si="3"/>
        <v>42535.476986137699</v>
      </c>
      <c r="I24" s="16">
        <f t="shared" ca="1" si="3"/>
        <v>71865.006407494278</v>
      </c>
      <c r="J24" s="16">
        <f t="shared" ca="1" si="3"/>
        <v>121418.15519389448</v>
      </c>
      <c r="K24" s="16">
        <f t="shared" ca="1" si="3"/>
        <v>205139.73556330567</v>
      </c>
      <c r="L24" s="35">
        <f t="shared" ca="1" si="3"/>
        <v>346589.93986345042</v>
      </c>
    </row>
    <row r="25" spans="1:12" x14ac:dyDescent="0.2">
      <c r="A25" s="34" t="s">
        <v>3</v>
      </c>
      <c r="B25" s="15">
        <v>26898</v>
      </c>
      <c r="C25" s="16">
        <f t="shared" ref="C25:L25" ca="1" si="4">C21*C9</f>
        <v>44941.524249565628</v>
      </c>
      <c r="D25" s="16">
        <f t="shared" ca="1" si="4"/>
        <v>61693.204474543782</v>
      </c>
      <c r="E25" s="16">
        <f t="shared" ca="1" si="4"/>
        <v>88196.798999963328</v>
      </c>
      <c r="F25" s="16">
        <f t="shared" ca="1" si="4"/>
        <v>121918.27487668575</v>
      </c>
      <c r="G25" s="16">
        <f t="shared" ca="1" si="4"/>
        <v>160210.32476128012</v>
      </c>
      <c r="H25" s="16">
        <f t="shared" ca="1" si="4"/>
        <v>193343.07720971681</v>
      </c>
      <c r="I25" s="16">
        <f t="shared" ca="1" si="4"/>
        <v>261327.29602725196</v>
      </c>
      <c r="J25" s="16">
        <f t="shared" ca="1" si="4"/>
        <v>441520.56434143451</v>
      </c>
      <c r="K25" s="16">
        <f t="shared" ca="1" si="4"/>
        <v>745962.67477565701</v>
      </c>
      <c r="L25" s="35">
        <f t="shared" ca="1" si="4"/>
        <v>1260327.0540489107</v>
      </c>
    </row>
    <row r="26" spans="1:12" x14ac:dyDescent="0.2">
      <c r="A26" s="34" t="s">
        <v>12</v>
      </c>
      <c r="B26" s="15">
        <f>B21-B22-B23-B24-B25</f>
        <v>-11186</v>
      </c>
      <c r="C26" s="15">
        <f t="shared" ref="C26:L26" ca="1" si="5">C21-C22-C23-C24-C25</f>
        <v>-18358.393755367415</v>
      </c>
      <c r="D26" s="15">
        <f t="shared" ca="1" si="5"/>
        <v>-16780.181777762715</v>
      </c>
      <c r="E26" s="15">
        <f t="shared" ca="1" si="5"/>
        <v>-12314.855441742417</v>
      </c>
      <c r="F26" s="15">
        <f t="shared" ca="1" si="5"/>
        <v>6286.6201054930571</v>
      </c>
      <c r="G26" s="15">
        <f t="shared" ca="1" si="5"/>
        <v>56395.81797385533</v>
      </c>
      <c r="H26" s="15">
        <f t="shared" ca="1" si="5"/>
        <v>172619.71287810136</v>
      </c>
      <c r="I26" s="15">
        <f t="shared" ca="1" si="5"/>
        <v>356978.1778513334</v>
      </c>
      <c r="J26" s="15">
        <f t="shared" ca="1" si="5"/>
        <v>603125.69310043042</v>
      </c>
      <c r="K26" s="15">
        <f t="shared" ca="1" si="5"/>
        <v>1018999.5474439503</v>
      </c>
      <c r="L26" s="36">
        <f t="shared" ca="1" si="5"/>
        <v>1721631.3109679958</v>
      </c>
    </row>
    <row r="27" spans="1:12" x14ac:dyDescent="0.2">
      <c r="A27" s="34" t="s">
        <v>13</v>
      </c>
      <c r="B27" s="15">
        <f>B26*$B$8</f>
        <v>-3803.2400000000002</v>
      </c>
      <c r="C27" s="15">
        <f t="shared" ref="C27:L27" ca="1" si="6">C26*$B$8</f>
        <v>-6241.8538768249218</v>
      </c>
      <c r="D27" s="15">
        <f t="shared" ca="1" si="6"/>
        <v>-5705.261804439323</v>
      </c>
      <c r="E27" s="15">
        <f t="shared" ca="1" si="6"/>
        <v>-4187.0508501924223</v>
      </c>
      <c r="F27" s="15">
        <f t="shared" ca="1" si="6"/>
        <v>2137.4508358676394</v>
      </c>
      <c r="G27" s="15">
        <f t="shared" ca="1" si="6"/>
        <v>19174.578111110812</v>
      </c>
      <c r="H27" s="15">
        <f t="shared" ca="1" si="6"/>
        <v>58690.702378554466</v>
      </c>
      <c r="I27" s="15">
        <f t="shared" ca="1" si="6"/>
        <v>121372.58046945336</v>
      </c>
      <c r="J27" s="15">
        <f t="shared" ca="1" si="6"/>
        <v>205062.73565414635</v>
      </c>
      <c r="K27" s="15">
        <f t="shared" ca="1" si="6"/>
        <v>346459.84613094316</v>
      </c>
      <c r="L27" s="36">
        <f t="shared" ca="1" si="6"/>
        <v>585354.64572911861</v>
      </c>
    </row>
    <row r="28" spans="1:12" x14ac:dyDescent="0.2">
      <c r="A28" s="34" t="s">
        <v>14</v>
      </c>
      <c r="B28" s="15">
        <f>B26-B27</f>
        <v>-7382.76</v>
      </c>
      <c r="C28" s="15">
        <f t="shared" ref="C28:L28" ca="1" si="7">C26-C27</f>
        <v>-12116.539878542493</v>
      </c>
      <c r="D28" s="15">
        <f t="shared" ca="1" si="7"/>
        <v>-11074.919973323391</v>
      </c>
      <c r="E28" s="15">
        <f t="shared" ca="1" si="7"/>
        <v>-8127.8045915499943</v>
      </c>
      <c r="F28" s="15">
        <f t="shared" ca="1" si="7"/>
        <v>4149.1692696254177</v>
      </c>
      <c r="G28" s="15">
        <f t="shared" ca="1" si="7"/>
        <v>37221.239862744522</v>
      </c>
      <c r="H28" s="15">
        <f t="shared" ca="1" si="7"/>
        <v>113929.01049954689</v>
      </c>
      <c r="I28" s="15">
        <f t="shared" ca="1" si="7"/>
        <v>235605.59738188004</v>
      </c>
      <c r="J28" s="15">
        <f t="shared" ca="1" si="7"/>
        <v>398062.95744628407</v>
      </c>
      <c r="K28" s="15">
        <f t="shared" ca="1" si="7"/>
        <v>672539.70131300716</v>
      </c>
      <c r="L28" s="36">
        <f t="shared" ca="1" si="7"/>
        <v>1136276.6652388773</v>
      </c>
    </row>
    <row r="29" spans="1:12" x14ac:dyDescent="0.2">
      <c r="A29" s="34"/>
      <c r="B29" s="16"/>
      <c r="C29" s="16"/>
      <c r="D29" s="16"/>
      <c r="E29" s="16"/>
      <c r="F29" s="16"/>
      <c r="G29" s="16"/>
      <c r="H29" s="16"/>
      <c r="I29" s="16"/>
      <c r="J29" s="16"/>
      <c r="K29" s="16"/>
      <c r="L29" s="35"/>
    </row>
    <row r="30" spans="1:12" x14ac:dyDescent="0.2">
      <c r="A30" s="34" t="s">
        <v>4</v>
      </c>
      <c r="B30" s="15">
        <v>15236</v>
      </c>
      <c r="C30" s="16">
        <f t="shared" ref="C30:L30" ca="1" si="8">C21*C10</f>
        <v>25279.607390380665</v>
      </c>
      <c r="D30" s="16">
        <f t="shared" ca="1" si="8"/>
        <v>37965.048907411561</v>
      </c>
      <c r="E30" s="16">
        <f t="shared" ca="1" si="8"/>
        <v>48107.344909070896</v>
      </c>
      <c r="F30" s="16">
        <f t="shared" ca="1" si="8"/>
        <v>54185.899945193669</v>
      </c>
      <c r="G30" s="16">
        <f t="shared" ca="1" si="8"/>
        <v>45774.378503222892</v>
      </c>
      <c r="H30" s="16">
        <f t="shared" ca="1" si="8"/>
        <v>77337.230883886732</v>
      </c>
      <c r="I30" s="16">
        <f t="shared" ca="1" si="8"/>
        <v>130663.64801362598</v>
      </c>
      <c r="J30" s="16">
        <f t="shared" ca="1" si="8"/>
        <v>220760.28217071726</v>
      </c>
      <c r="K30" s="16">
        <f t="shared" ca="1" si="8"/>
        <v>372981.33738782851</v>
      </c>
      <c r="L30" s="35">
        <f t="shared" ca="1" si="8"/>
        <v>630163.52702445537</v>
      </c>
    </row>
    <row r="31" spans="1:12" x14ac:dyDescent="0.2">
      <c r="A31" s="34" t="s">
        <v>35</v>
      </c>
      <c r="B31" s="15">
        <v>0</v>
      </c>
      <c r="C31" s="15">
        <v>0</v>
      </c>
      <c r="D31" s="15">
        <v>0</v>
      </c>
      <c r="E31" s="15">
        <v>0</v>
      </c>
      <c r="F31" s="15">
        <v>0</v>
      </c>
      <c r="G31" s="15">
        <v>0</v>
      </c>
      <c r="H31" s="15">
        <v>0</v>
      </c>
      <c r="I31" s="15">
        <v>0</v>
      </c>
      <c r="J31" s="15">
        <v>0</v>
      </c>
      <c r="K31" s="15">
        <v>0</v>
      </c>
      <c r="L31" s="36">
        <v>0</v>
      </c>
    </row>
    <row r="32" spans="1:12" x14ac:dyDescent="0.2">
      <c r="A32" s="34"/>
      <c r="B32" s="15"/>
      <c r="C32" s="16"/>
      <c r="D32" s="16"/>
      <c r="E32" s="16"/>
      <c r="F32" s="16"/>
      <c r="G32" s="16"/>
      <c r="H32" s="16"/>
      <c r="I32" s="16"/>
      <c r="J32" s="16"/>
      <c r="K32" s="16"/>
      <c r="L32" s="35"/>
    </row>
    <row r="33" spans="1:12" x14ac:dyDescent="0.2">
      <c r="A33" s="34" t="s">
        <v>15</v>
      </c>
      <c r="B33" s="15">
        <f>B28+B24-B30-B31</f>
        <v>-20782.760000000002</v>
      </c>
      <c r="C33" s="15">
        <f t="shared" ref="C33:L33" ca="1" si="9">C28+C24-C30-C31</f>
        <v>-34306.41747676552</v>
      </c>
      <c r="D33" s="15">
        <f t="shared" ca="1" si="9"/>
        <v>-43819.774655965863</v>
      </c>
      <c r="E33" s="15">
        <f t="shared" ca="1" si="9"/>
        <v>-47415.469600624558</v>
      </c>
      <c r="F33" s="15">
        <f t="shared" ca="1" si="9"/>
        <v>-35135.608190639992</v>
      </c>
      <c r="G33" s="15">
        <f t="shared" ca="1" si="9"/>
        <v>16622.769536294218</v>
      </c>
      <c r="H33" s="15">
        <f t="shared" ca="1" si="9"/>
        <v>79127.256601797839</v>
      </c>
      <c r="I33" s="15">
        <f t="shared" ca="1" si="9"/>
        <v>176806.95577574836</v>
      </c>
      <c r="J33" s="15">
        <f t="shared" ca="1" si="9"/>
        <v>298720.83046946127</v>
      </c>
      <c r="K33" s="15">
        <f t="shared" ca="1" si="9"/>
        <v>504698.09948848432</v>
      </c>
      <c r="L33" s="36">
        <f t="shared" ca="1" si="9"/>
        <v>852703.07807787228</v>
      </c>
    </row>
    <row r="34" spans="1:12" x14ac:dyDescent="0.2">
      <c r="A34" s="34" t="s">
        <v>37</v>
      </c>
      <c r="B34" s="15">
        <f ca="1">(L33*(1+B5))/(B16-B5)</f>
        <v>5297711.0819123574</v>
      </c>
      <c r="C34" s="16"/>
      <c r="D34" s="16"/>
      <c r="E34" s="16"/>
      <c r="F34" s="16"/>
      <c r="G34" s="16"/>
      <c r="H34" s="16"/>
      <c r="I34" s="16"/>
      <c r="J34" s="16"/>
      <c r="K34" s="16"/>
      <c r="L34" s="35"/>
    </row>
    <row r="35" spans="1:12" x14ac:dyDescent="0.2">
      <c r="A35" s="34" t="s">
        <v>23</v>
      </c>
      <c r="B35" s="16">
        <f ca="1">B33+NPV(B16,C33:L33)</f>
        <v>343637.34681012633</v>
      </c>
      <c r="C35" s="16"/>
      <c r="D35" s="16"/>
      <c r="E35" s="16"/>
      <c r="F35" s="16"/>
      <c r="G35" s="16"/>
      <c r="H35" s="16"/>
      <c r="I35" s="16"/>
      <c r="J35" s="16"/>
      <c r="K35" s="16"/>
      <c r="L35" s="35"/>
    </row>
    <row r="36" spans="1:12" x14ac:dyDescent="0.2">
      <c r="A36" s="34" t="s">
        <v>33</v>
      </c>
      <c r="B36" s="16">
        <f ca="1">B34/(1+B16)^11</f>
        <v>919551.69369792996</v>
      </c>
      <c r="C36" s="16"/>
      <c r="D36" s="16"/>
      <c r="E36" s="16"/>
      <c r="F36" s="16"/>
      <c r="G36" s="16"/>
      <c r="H36" s="16"/>
      <c r="I36" s="16"/>
      <c r="J36" s="16"/>
      <c r="K36" s="16"/>
      <c r="L36" s="35"/>
    </row>
    <row r="37" spans="1:12" ht="13.5" thickBot="1" x14ac:dyDescent="0.25">
      <c r="A37" s="37" t="s">
        <v>24</v>
      </c>
      <c r="B37" s="38">
        <f ca="1">B35+B36</f>
        <v>1263189.0405080563</v>
      </c>
      <c r="C37" s="39"/>
      <c r="D37" s="39"/>
      <c r="E37" s="39"/>
      <c r="F37" s="39"/>
      <c r="G37" s="39"/>
      <c r="H37" s="39"/>
      <c r="I37" s="39"/>
      <c r="J37" s="39"/>
      <c r="K37" s="39"/>
      <c r="L37" s="40"/>
    </row>
    <row r="38" spans="1:12" x14ac:dyDescent="0.2">
      <c r="A38" s="9"/>
      <c r="B38" s="41"/>
      <c r="C38" s="16"/>
      <c r="D38" s="16"/>
      <c r="E38" s="16"/>
      <c r="F38" s="16"/>
      <c r="G38" s="16"/>
      <c r="H38" s="16"/>
      <c r="I38" s="16"/>
      <c r="J38" s="16"/>
      <c r="K38" s="16"/>
      <c r="L38" s="16"/>
    </row>
    <row r="39" spans="1:12" ht="13.5" thickBot="1" x14ac:dyDescent="0.25">
      <c r="A39" s="42" t="s">
        <v>26</v>
      </c>
    </row>
    <row r="40" spans="1:12" x14ac:dyDescent="0.2">
      <c r="A40" s="30" t="s">
        <v>27</v>
      </c>
      <c r="B40" s="54">
        <f ca="1">B37 + _xll.PsiOutput()</f>
        <v>1263189.0405080563</v>
      </c>
    </row>
    <row r="41" spans="1:12" x14ac:dyDescent="0.2">
      <c r="A41" s="34" t="s">
        <v>39</v>
      </c>
      <c r="B41" s="24">
        <f ca="1">B36/B37 + _xll.PsiOutput()</f>
        <v>0.72796047480596016</v>
      </c>
    </row>
    <row r="42" spans="1:12" x14ac:dyDescent="0.2">
      <c r="A42" s="34" t="s">
        <v>29</v>
      </c>
      <c r="B42" s="55">
        <f ca="1">SUM(B50:L50) + _xll.PsiOutput()</f>
        <v>2002</v>
      </c>
    </row>
    <row r="43" spans="1:12" x14ac:dyDescent="0.2">
      <c r="A43" s="34" t="s">
        <v>30</v>
      </c>
      <c r="B43" s="56">
        <f ca="1">MIN(B47:L47) + _xll.PsiOutput()</f>
        <v>-181460.02992399593</v>
      </c>
    </row>
    <row r="44" spans="1:12" ht="13.5" thickBot="1" x14ac:dyDescent="0.25">
      <c r="A44" s="37" t="s">
        <v>32</v>
      </c>
      <c r="B44" s="57">
        <f ca="1">B37/B17 + _xll.PsiOutput()</f>
        <v>33.241816855475165</v>
      </c>
    </row>
    <row r="47" spans="1:12" x14ac:dyDescent="0.2">
      <c r="A47" s="2" t="s">
        <v>28</v>
      </c>
      <c r="B47" s="14">
        <f>B33</f>
        <v>-20782.760000000002</v>
      </c>
      <c r="C47" s="14">
        <f t="shared" ref="C47:L47" ca="1" si="10">C33+B47</f>
        <v>-55089.177476765522</v>
      </c>
      <c r="D47" s="14">
        <f t="shared" ca="1" si="10"/>
        <v>-98908.952132731385</v>
      </c>
      <c r="E47" s="14">
        <f t="shared" ca="1" si="10"/>
        <v>-146324.42173335594</v>
      </c>
      <c r="F47" s="14">
        <f t="shared" ca="1" si="10"/>
        <v>-181460.02992399593</v>
      </c>
      <c r="G47" s="14">
        <f t="shared" ca="1" si="10"/>
        <v>-164837.26038770171</v>
      </c>
      <c r="H47" s="14">
        <f t="shared" ca="1" si="10"/>
        <v>-85710.003785903871</v>
      </c>
      <c r="I47" s="14">
        <f t="shared" ca="1" si="10"/>
        <v>91096.951989844485</v>
      </c>
      <c r="J47" s="14">
        <f t="shared" ca="1" si="10"/>
        <v>389817.78245930577</v>
      </c>
      <c r="K47" s="14">
        <f t="shared" ca="1" si="10"/>
        <v>894515.88194779004</v>
      </c>
      <c r="L47" s="14">
        <f t="shared" ca="1" si="10"/>
        <v>1747218.9600256623</v>
      </c>
    </row>
    <row r="48" spans="1:12" x14ac:dyDescent="0.2">
      <c r="A48" s="2" t="s">
        <v>40</v>
      </c>
      <c r="B48" s="3">
        <f>IF(B47&lt;0,0,B47)</f>
        <v>0</v>
      </c>
      <c r="C48" s="3">
        <f t="shared" ref="C48:L48" ca="1" si="11">IF(C47&lt;0,0,C47)</f>
        <v>0</v>
      </c>
      <c r="D48" s="3">
        <f ca="1">IF(D47&lt;0,0,D47)</f>
        <v>0</v>
      </c>
      <c r="E48" s="3">
        <f t="shared" ca="1" si="11"/>
        <v>0</v>
      </c>
      <c r="F48" s="3">
        <f t="shared" ca="1" si="11"/>
        <v>0</v>
      </c>
      <c r="G48" s="3">
        <f t="shared" ca="1" si="11"/>
        <v>0</v>
      </c>
      <c r="H48" s="3">
        <f t="shared" ca="1" si="11"/>
        <v>0</v>
      </c>
      <c r="I48" s="3">
        <f ca="1">IF(I47&lt;0,0,I47)</f>
        <v>91096.951989844485</v>
      </c>
      <c r="J48" s="3">
        <f t="shared" ca="1" si="11"/>
        <v>389817.78245930577</v>
      </c>
      <c r="K48" s="3">
        <f t="shared" ca="1" si="11"/>
        <v>894515.88194779004</v>
      </c>
      <c r="L48" s="3">
        <f t="shared" ca="1" si="11"/>
        <v>1747218.9600256623</v>
      </c>
    </row>
    <row r="49" spans="1:12" x14ac:dyDescent="0.2">
      <c r="A49" s="10" t="s">
        <v>41</v>
      </c>
      <c r="B49" s="3">
        <f>B48</f>
        <v>0</v>
      </c>
      <c r="C49" s="2">
        <f ca="1">IF(AND(B48=0,C48&lt;&gt;0),C48,0)</f>
        <v>0</v>
      </c>
      <c r="D49" s="2">
        <f t="shared" ref="D49:L49" ca="1" si="12">IF(AND(C48=0,D48&lt;&gt;0),D48,0)</f>
        <v>0</v>
      </c>
      <c r="E49" s="2">
        <f t="shared" ca="1" si="12"/>
        <v>0</v>
      </c>
      <c r="F49" s="2">
        <f t="shared" ca="1" si="12"/>
        <v>0</v>
      </c>
      <c r="G49" s="2">
        <f t="shared" ca="1" si="12"/>
        <v>0</v>
      </c>
      <c r="H49" s="2">
        <f t="shared" ca="1" si="12"/>
        <v>0</v>
      </c>
      <c r="I49" s="3">
        <f ca="1">IF(AND(H48=0,I48&lt;&gt;0),I48,0)</f>
        <v>91096.951989844485</v>
      </c>
      <c r="J49" s="2">
        <f t="shared" ca="1" si="12"/>
        <v>0</v>
      </c>
      <c r="K49" s="2">
        <f t="shared" ca="1" si="12"/>
        <v>0</v>
      </c>
      <c r="L49" s="2">
        <f t="shared" ca="1" si="12"/>
        <v>0</v>
      </c>
    </row>
    <row r="50" spans="1:12" x14ac:dyDescent="0.2">
      <c r="A50" s="10" t="s">
        <v>42</v>
      </c>
      <c r="B50" s="2">
        <f>IF(B49&gt;0,1995,0)</f>
        <v>0</v>
      </c>
      <c r="C50" s="2">
        <f t="shared" ref="C50:L50" ca="1" si="13">IF(C49&gt;0,C3,0)</f>
        <v>0</v>
      </c>
      <c r="D50" s="2">
        <f t="shared" ca="1" si="13"/>
        <v>0</v>
      </c>
      <c r="E50" s="2">
        <f t="shared" ca="1" si="13"/>
        <v>0</v>
      </c>
      <c r="F50" s="2">
        <f t="shared" ca="1" si="13"/>
        <v>0</v>
      </c>
      <c r="G50" s="2">
        <f t="shared" ca="1" si="13"/>
        <v>0</v>
      </c>
      <c r="H50" s="2">
        <f t="shared" ca="1" si="13"/>
        <v>0</v>
      </c>
      <c r="I50" s="2">
        <f t="shared" ca="1" si="13"/>
        <v>2002</v>
      </c>
      <c r="J50" s="2">
        <f t="shared" ca="1" si="13"/>
        <v>0</v>
      </c>
      <c r="K50" s="2">
        <f t="shared" ca="1" si="13"/>
        <v>0</v>
      </c>
      <c r="L50" s="2">
        <f t="shared" ca="1" si="13"/>
        <v>0</v>
      </c>
    </row>
  </sheetData>
  <phoneticPr fontId="0" type="noConversion"/>
  <pageMargins left="0.75" right="0.75" top="1" bottom="1" header="0.5" footer="0.5"/>
  <pageSetup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16.15</vt:lpstr>
      <vt:lpstr>CB_DATA_</vt:lpstr>
      <vt:lpstr>16.16</vt:lpstr>
      <vt:lpstr>16.18</vt:lpstr>
    </vt:vector>
  </TitlesOfParts>
  <Company>Dartmouth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Steve.Powell</dc:creator>
  <cp:lastModifiedBy>Baker, Kenneth R.</cp:lastModifiedBy>
  <cp:lastPrinted>2005-08-16T15:12:50Z</cp:lastPrinted>
  <dcterms:created xsi:type="dcterms:W3CDTF">2002-02-04T15:14:44Z</dcterms:created>
  <dcterms:modified xsi:type="dcterms:W3CDTF">2010-08-16T19:52:14Z</dcterms:modified>
</cp:coreProperties>
</file>